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Z:\DataNew on Admin\Работа\ПРАЙС-ЛИСТЫ\Калькулятор готовых изделий\"/>
    </mc:Choice>
  </mc:AlternateContent>
  <xr:revisionPtr revIDLastSave="0" documentId="13_ncr:1_{FEC0A493-72A0-4C54-A2D5-DC2B5A048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ET" sheetId="4" r:id="rId1"/>
    <sheet name="цены" sheetId="3" state="hidden" r:id="rId2"/>
    <sheet name="комплектующие" sheetId="5" r:id="rId3"/>
  </sheets>
  <definedNames>
    <definedName name="ширина">#REF!</definedName>
    <definedName name="Ширина__Профиль_горизонтальный_с_уплотнителе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3" i="5"/>
  <c r="U17" i="4"/>
  <c r="F58" i="3"/>
  <c r="G58" i="3" s="1"/>
  <c r="F49" i="3"/>
  <c r="H49" i="3" s="1"/>
  <c r="F40" i="3"/>
  <c r="G40" i="3" s="1"/>
  <c r="F31" i="3"/>
  <c r="G31" i="3" s="1"/>
  <c r="F22" i="3"/>
  <c r="G22" i="3" s="1"/>
  <c r="F13" i="3"/>
  <c r="H13" i="3" s="1"/>
  <c r="F4" i="3"/>
  <c r="G4" i="3" s="1"/>
  <c r="U16" i="4"/>
  <c r="P25" i="4"/>
  <c r="C69" i="3"/>
  <c r="C68" i="3"/>
  <c r="Q36" i="4" s="1"/>
  <c r="F67" i="3"/>
  <c r="G67" i="3" s="1"/>
  <c r="F66" i="3"/>
  <c r="G66" i="3" s="1"/>
  <c r="I23" i="4"/>
  <c r="G65" i="3"/>
  <c r="F48" i="3"/>
  <c r="G48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47" i="3"/>
  <c r="H47" i="3" s="1"/>
  <c r="F57" i="3"/>
  <c r="G57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56" i="3"/>
  <c r="G56" i="3" s="1"/>
  <c r="F39" i="3"/>
  <c r="G39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38" i="3"/>
  <c r="G38" i="3" s="1"/>
  <c r="F37" i="3"/>
  <c r="H37" i="3" s="1"/>
  <c r="F36" i="3"/>
  <c r="G36" i="3" s="1"/>
  <c r="F35" i="3"/>
  <c r="G35" i="3" s="1"/>
  <c r="F34" i="3"/>
  <c r="G34" i="3" s="1"/>
  <c r="F33" i="3"/>
  <c r="G33" i="3" s="1"/>
  <c r="F32" i="3"/>
  <c r="H32" i="3" s="1"/>
  <c r="F30" i="3"/>
  <c r="H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G21" i="3" s="1"/>
  <c r="F20" i="3"/>
  <c r="H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2" i="3"/>
  <c r="G12" i="3" s="1"/>
  <c r="F11" i="3"/>
  <c r="G11" i="3" s="1"/>
  <c r="F3" i="3"/>
  <c r="G3" i="3" s="1"/>
  <c r="F5" i="3"/>
  <c r="G5" i="3" s="1"/>
  <c r="F6" i="3"/>
  <c r="G6" i="3" s="1"/>
  <c r="F7" i="3"/>
  <c r="H7" i="3" s="1"/>
  <c r="F8" i="3"/>
  <c r="G8" i="3" s="1"/>
  <c r="F9" i="3"/>
  <c r="G9" i="3" s="1"/>
  <c r="F10" i="3"/>
  <c r="G10" i="3" s="1"/>
  <c r="F2" i="3"/>
  <c r="G2" i="3" s="1"/>
  <c r="U22" i="4"/>
  <c r="U21" i="4"/>
  <c r="S23" i="4"/>
  <c r="G47" i="3" l="1"/>
  <c r="H22" i="3"/>
  <c r="G49" i="3"/>
  <c r="H40" i="3"/>
  <c r="H31" i="3"/>
  <c r="G13" i="3"/>
  <c r="H4" i="3"/>
  <c r="F28" i="4"/>
  <c r="C28" i="4"/>
  <c r="H55" i="3"/>
  <c r="H52" i="3"/>
  <c r="H69" i="3"/>
  <c r="H51" i="3"/>
  <c r="H50" i="3"/>
  <c r="H53" i="3"/>
  <c r="H48" i="3"/>
  <c r="H54" i="3"/>
  <c r="G32" i="3"/>
  <c r="G30" i="3"/>
  <c r="H16" i="3"/>
  <c r="H29" i="3"/>
  <c r="H38" i="3"/>
  <c r="H27" i="3"/>
  <c r="H26" i="3"/>
  <c r="G7" i="3"/>
  <c r="H43" i="3"/>
  <c r="H14" i="3"/>
  <c r="H24" i="3"/>
  <c r="H23" i="3"/>
  <c r="H42" i="3"/>
  <c r="H12" i="3"/>
  <c r="H25" i="3"/>
  <c r="H41" i="3"/>
  <c r="H11" i="3"/>
  <c r="H28" i="3"/>
  <c r="H15" i="3"/>
  <c r="H39" i="3"/>
  <c r="G37" i="3"/>
  <c r="H10" i="3"/>
  <c r="H36" i="3"/>
  <c r="H9" i="3"/>
  <c r="H35" i="3"/>
  <c r="H21" i="3"/>
  <c r="H8" i="3"/>
  <c r="G20" i="3"/>
  <c r="H2" i="3"/>
  <c r="H34" i="3"/>
  <c r="H46" i="3"/>
  <c r="H33" i="3"/>
  <c r="H19" i="3"/>
  <c r="H6" i="3"/>
  <c r="H45" i="3"/>
  <c r="H18" i="3"/>
  <c r="H5" i="3"/>
  <c r="H44" i="3"/>
  <c r="H17" i="3"/>
  <c r="H3" i="3"/>
  <c r="G70" i="3" l="1"/>
  <c r="P28" i="4" s="1"/>
  <c r="R29" i="4" s="1"/>
  <c r="H70" i="3"/>
  <c r="Q35" i="4" s="1"/>
</calcChain>
</file>

<file path=xl/sharedStrings.xml><?xml version="1.0" encoding="utf-8"?>
<sst xmlns="http://schemas.openxmlformats.org/spreadsheetml/2006/main" count="436" uniqueCount="128">
  <si>
    <t>Наименование</t>
  </si>
  <si>
    <t>Цвет</t>
  </si>
  <si>
    <t>антрацит</t>
  </si>
  <si>
    <t>устричный</t>
  </si>
  <si>
    <t>коньяк</t>
  </si>
  <si>
    <t>никель</t>
  </si>
  <si>
    <t>розовое золото</t>
  </si>
  <si>
    <t>латунь</t>
  </si>
  <si>
    <t>S01.A</t>
  </si>
  <si>
    <t>S01.U</t>
  </si>
  <si>
    <t>S01.C</t>
  </si>
  <si>
    <t>S01.Ol</t>
  </si>
  <si>
    <t>S01.N</t>
  </si>
  <si>
    <t>S01.G</t>
  </si>
  <si>
    <t>E0134.3000.A</t>
  </si>
  <si>
    <t>E0134.3000.U</t>
  </si>
  <si>
    <t>E0134.3000.C</t>
  </si>
  <si>
    <t>E0134.3000.Ol</t>
  </si>
  <si>
    <t>E0134.3000.N</t>
  </si>
  <si>
    <t>E0134.3000.G</t>
  </si>
  <si>
    <t>E0134.3000.L</t>
  </si>
  <si>
    <t>E0135.0296.A</t>
  </si>
  <si>
    <t>E0135.0296.U</t>
  </si>
  <si>
    <t>E0135.0296.C</t>
  </si>
  <si>
    <t>E0135.0296.Ol</t>
  </si>
  <si>
    <t>E0135.0296.N</t>
  </si>
  <si>
    <t>E0135.0296.G</t>
  </si>
  <si>
    <t>E0135.0296.L</t>
  </si>
  <si>
    <t>E0135.0446.A</t>
  </si>
  <si>
    <t>E0135.0446.U</t>
  </si>
  <si>
    <t>E0135.0446.C</t>
  </si>
  <si>
    <t>E0135.0446.Ol</t>
  </si>
  <si>
    <t>E0135.0446.N</t>
  </si>
  <si>
    <t>E0135.0446.G</t>
  </si>
  <si>
    <t>E0135.0446.L</t>
  </si>
  <si>
    <t>E0135.0496.A</t>
  </si>
  <si>
    <t>E0135.0496.U</t>
  </si>
  <si>
    <t>E0135.0496.C</t>
  </si>
  <si>
    <t>E0135.0496.Ol</t>
  </si>
  <si>
    <t>E0135.0496.N</t>
  </si>
  <si>
    <t>E0135.0496.G</t>
  </si>
  <si>
    <t>E0135.0496.L</t>
  </si>
  <si>
    <t>E0135.0596.A</t>
  </si>
  <si>
    <t>E0135.0596.U</t>
  </si>
  <si>
    <t>E0135.0596.C</t>
  </si>
  <si>
    <t>E0135.0596.Ol</t>
  </si>
  <si>
    <t>E0135.0596.N</t>
  </si>
  <si>
    <t>E0135.0596.G</t>
  </si>
  <si>
    <t>E0135.0596.L</t>
  </si>
  <si>
    <t>S01.L</t>
  </si>
  <si>
    <t>E0135.0000.A</t>
  </si>
  <si>
    <t>E0135.0000.U</t>
  </si>
  <si>
    <t>E0135.0000.C</t>
  </si>
  <si>
    <t>E0135.0000.Ol</t>
  </si>
  <si>
    <t>E0135.0000.N</t>
  </si>
  <si>
    <t>E0135.0000.G</t>
  </si>
  <si>
    <t>E0135.0000.L</t>
  </si>
  <si>
    <t>Справочная информация:</t>
  </si>
  <si>
    <t>Артикул</t>
  </si>
  <si>
    <t>РАСЧЕТ ФАСАДА ИЗ РАМОЧНОГО ПРОФИЛЯ ALUMOVE ESTET</t>
  </si>
  <si>
    <t>Выберите цвет:</t>
  </si>
  <si>
    <t>черный (неро)</t>
  </si>
  <si>
    <t>темно-оливковый</t>
  </si>
  <si>
    <t>Высота</t>
  </si>
  <si>
    <t>Ширина</t>
  </si>
  <si>
    <t>Введите размеры фасада, мм:</t>
  </si>
  <si>
    <t xml:space="preserve">коньяк </t>
  </si>
  <si>
    <t>E0135.0296.NE</t>
  </si>
  <si>
    <t>Профиль горизонтальный с уплотнителем 296 мм</t>
  </si>
  <si>
    <t>Профиль горизонтальный с уплотнителем 446 мм</t>
  </si>
  <si>
    <t>E0135.0446.NE</t>
  </si>
  <si>
    <t>Профиль горизонтальный с уплотнителем 496 мм</t>
  </si>
  <si>
    <t>E0135.0496.NE</t>
  </si>
  <si>
    <t>Профиль горизонтальный с уплотнителем 596 мм</t>
  </si>
  <si>
    <t>E0135.0596.NE</t>
  </si>
  <si>
    <t>E0135.0000.NE</t>
  </si>
  <si>
    <t>Профиль горизонтальный с уплотнителем нестандартный</t>
  </si>
  <si>
    <t>Профиль-ручка с уплотнителем 3000 мм</t>
  </si>
  <si>
    <t>E0134.3000.NE</t>
  </si>
  <si>
    <t>S01.NE</t>
  </si>
  <si>
    <t>Саморез для соединения горизонтального и вертикального профиля 3,9х25</t>
  </si>
  <si>
    <t>Добавьте присадки под чашечку петли:</t>
  </si>
  <si>
    <t>Добавьте петли  FGV OMNIA L, 105°:</t>
  </si>
  <si>
    <t>Цена</t>
  </si>
  <si>
    <t>упаковка</t>
  </si>
  <si>
    <t>присадки</t>
  </si>
  <si>
    <t>петли</t>
  </si>
  <si>
    <t>Вес</t>
  </si>
  <si>
    <t>высота вставки</t>
  </si>
  <si>
    <t>ширина вставки</t>
  </si>
  <si>
    <t>NE</t>
  </si>
  <si>
    <t>A</t>
  </si>
  <si>
    <t>C</t>
  </si>
  <si>
    <t>U</t>
  </si>
  <si>
    <t>OI</t>
  </si>
  <si>
    <t>L</t>
  </si>
  <si>
    <t>G</t>
  </si>
  <si>
    <t>N</t>
  </si>
  <si>
    <t>Цена, ₽</t>
  </si>
  <si>
    <t>Цена 
со скидкой, ₽</t>
  </si>
  <si>
    <t>Посмотреть 
техническую информацию</t>
  </si>
  <si>
    <t>Тип сборки:</t>
  </si>
  <si>
    <t xml:space="preserve">  • стандартная ширина фасада: 296, 446, 496, 596 мм</t>
  </si>
  <si>
    <t xml:space="preserve">     максимальная ширина 650 мм</t>
  </si>
  <si>
    <r>
      <rPr>
        <i/>
        <sz val="14"/>
        <color theme="1"/>
        <rFont val="Calibri"/>
        <family val="2"/>
        <charset val="204"/>
        <scheme val="minor"/>
      </rPr>
      <t>•</t>
    </r>
    <r>
      <rPr>
        <i/>
        <sz val="12"/>
        <color theme="1"/>
        <rFont val="Calibri"/>
        <family val="2"/>
        <charset val="204"/>
        <scheme val="minor"/>
      </rPr>
      <t xml:space="preserve"> с узким горизонтальным профилем</t>
    </r>
  </si>
  <si>
    <t>Вес фасада со стеклом толщиной 4 мм (приблизительное значение)</t>
  </si>
  <si>
    <t>Фото/схема</t>
  </si>
  <si>
    <t>без присадок</t>
  </si>
  <si>
    <t>добавить петли</t>
  </si>
  <si>
    <t>без петель</t>
  </si>
  <si>
    <t xml:space="preserve">добавить </t>
  </si>
  <si>
    <t>Размер вставки из стекла толщиной 4 мм (с еврокромкой по периметру)</t>
  </si>
  <si>
    <t>Дополнительно необходимо заполнить форму заказа на производство:</t>
  </si>
  <si>
    <t>скачать форму заказа</t>
  </si>
  <si>
    <t>итальянское золото</t>
  </si>
  <si>
    <r>
      <t xml:space="preserve">  </t>
    </r>
    <r>
      <rPr>
        <b/>
        <sz val="9"/>
        <color rgb="FFFF0000"/>
        <rFont val="Calibri"/>
        <family val="2"/>
        <charset val="204"/>
        <scheme val="minor"/>
      </rPr>
      <t>•</t>
    </r>
    <r>
      <rPr>
        <sz val="9"/>
        <color rgb="FFFF0000"/>
        <rFont val="Calibri"/>
        <family val="2"/>
        <charset val="204"/>
        <scheme val="minor"/>
      </rPr>
      <t xml:space="preserve"> максимальная высота фасада: 2700 мм</t>
    </r>
  </si>
  <si>
    <r>
      <t xml:space="preserve">  </t>
    </r>
    <r>
      <rPr>
        <b/>
        <sz val="9"/>
        <color rgb="FFFF0000"/>
        <rFont val="Calibri"/>
        <family val="2"/>
        <charset val="204"/>
        <scheme val="minor"/>
      </rPr>
      <t>•</t>
    </r>
    <r>
      <rPr>
        <sz val="9"/>
        <color rgb="FFFF0000"/>
        <rFont val="Calibri"/>
        <family val="2"/>
        <charset val="204"/>
        <scheme val="minor"/>
      </rPr>
      <t xml:space="preserve"> при выборе нестандартного размера: </t>
    </r>
  </si>
  <si>
    <t>IG</t>
  </si>
  <si>
    <t>E0135.0296.IG</t>
  </si>
  <si>
    <t>E0135.0446.IG</t>
  </si>
  <si>
    <t>E0135.0496.IG</t>
  </si>
  <si>
    <t>E0135.0596.IG</t>
  </si>
  <si>
    <t>E0135.0000.IG</t>
  </si>
  <si>
    <t>E0134.3000.IG</t>
  </si>
  <si>
    <t>S01.IG</t>
  </si>
  <si>
    <t>Саморез для соединения горизонтального и вертикального профиля 3,9х26</t>
  </si>
  <si>
    <t>E0135.0446.шG</t>
  </si>
  <si>
    <t>Цена со скидкой,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</si>
</sst>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</font>
    <font>
      <sz val="8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u/>
      <sz val="9"/>
      <color theme="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hidden="1"/>
    </xf>
    <xf numFmtId="0" fontId="7" fillId="0" borderId="23" xfId="0" applyFont="1" applyBorder="1"/>
    <xf numFmtId="0" fontId="7" fillId="0" borderId="24" xfId="0" applyFont="1" applyBorder="1"/>
    <xf numFmtId="0" fontId="7" fillId="0" borderId="24" xfId="0" applyFont="1" applyBorder="1" applyAlignment="1">
      <alignment horizontal="left" indent="2"/>
    </xf>
    <xf numFmtId="0" fontId="7" fillId="0" borderId="26" xfId="0" applyFont="1" applyBorder="1" applyAlignment="1">
      <alignment horizontal="left" indent="2"/>
    </xf>
    <xf numFmtId="0" fontId="7" fillId="0" borderId="29" xfId="0" applyFont="1" applyBorder="1" applyAlignment="1">
      <alignment horizontal="left" indent="2"/>
    </xf>
    <xf numFmtId="0" fontId="7" fillId="0" borderId="0" xfId="0" applyFont="1"/>
    <xf numFmtId="0" fontId="7" fillId="0" borderId="26" xfId="0" applyFont="1" applyBorder="1"/>
    <xf numFmtId="0" fontId="7" fillId="0" borderId="29" xfId="0" applyFont="1" applyBorder="1"/>
    <xf numFmtId="3" fontId="7" fillId="0" borderId="0" xfId="0" applyNumberFormat="1" applyFont="1"/>
    <xf numFmtId="0" fontId="8" fillId="0" borderId="25" xfId="0" applyFont="1" applyBorder="1" applyAlignment="1" applyProtection="1">
      <alignment horizontal="left" vertical="center" wrapText="1" indent="2"/>
      <protection hidden="1"/>
    </xf>
    <xf numFmtId="0" fontId="8" fillId="0" borderId="27" xfId="0" applyFont="1" applyBorder="1" applyAlignment="1" applyProtection="1">
      <alignment horizontal="left" vertical="center" wrapText="1" indent="2"/>
      <protection hidden="1"/>
    </xf>
    <xf numFmtId="0" fontId="8" fillId="0" borderId="28" xfId="0" applyFont="1" applyBorder="1" applyAlignment="1" applyProtection="1">
      <alignment horizontal="left" vertical="center" wrapText="1" indent="2"/>
      <protection hidden="1"/>
    </xf>
    <xf numFmtId="3" fontId="7" fillId="0" borderId="0" xfId="0" applyNumberFormat="1" applyFont="1" applyAlignment="1">
      <alignment horizontal="center"/>
    </xf>
    <xf numFmtId="3" fontId="7" fillId="0" borderId="24" xfId="0" applyNumberFormat="1" applyFont="1" applyBorder="1"/>
    <xf numFmtId="3" fontId="7" fillId="0" borderId="26" xfId="0" applyNumberFormat="1" applyFont="1" applyBorder="1"/>
    <xf numFmtId="0" fontId="7" fillId="0" borderId="28" xfId="0" applyFont="1" applyBorder="1"/>
    <xf numFmtId="3" fontId="7" fillId="0" borderId="29" xfId="0" applyNumberFormat="1" applyFont="1" applyBorder="1"/>
    <xf numFmtId="3" fontId="7" fillId="0" borderId="38" xfId="0" applyNumberFormat="1" applyFont="1" applyBorder="1" applyAlignment="1">
      <alignment horizontal="center"/>
    </xf>
    <xf numFmtId="3" fontId="7" fillId="0" borderId="39" xfId="0" applyNumberFormat="1" applyFont="1" applyBorder="1" applyAlignment="1">
      <alignment horizontal="center"/>
    </xf>
    <xf numFmtId="4" fontId="0" fillId="0" borderId="0" xfId="0" applyNumberFormat="1"/>
    <xf numFmtId="3" fontId="7" fillId="0" borderId="23" xfId="0" applyNumberFormat="1" applyFont="1" applyBorder="1"/>
    <xf numFmtId="0" fontId="7" fillId="0" borderId="42" xfId="0" applyFont="1" applyBorder="1"/>
    <xf numFmtId="3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20" xfId="0" applyFont="1" applyBorder="1" applyAlignment="1">
      <alignment horizontal="center"/>
    </xf>
    <xf numFmtId="4" fontId="1" fillId="0" borderId="4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" fontId="1" fillId="0" borderId="3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4" fontId="1" fillId="0" borderId="45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4" fontId="1" fillId="0" borderId="34" xfId="0" applyNumberFormat="1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" fontId="4" fillId="6" borderId="0" xfId="0" applyNumberFormat="1" applyFont="1" applyFill="1" applyAlignment="1">
      <alignment horizontal="center"/>
    </xf>
    <xf numFmtId="0" fontId="8" fillId="0" borderId="31" xfId="0" applyFont="1" applyBorder="1" applyAlignment="1" applyProtection="1">
      <alignment horizontal="left" vertical="center" wrapText="1" indent="2"/>
      <protection hidden="1"/>
    </xf>
    <xf numFmtId="0" fontId="8" fillId="0" borderId="45" xfId="0" applyFont="1" applyBorder="1" applyAlignment="1" applyProtection="1">
      <alignment horizontal="left" vertical="center" wrapText="1" indent="2"/>
      <protection hidden="1"/>
    </xf>
    <xf numFmtId="0" fontId="8" fillId="0" borderId="44" xfId="0" applyFont="1" applyBorder="1" applyAlignment="1" applyProtection="1">
      <alignment horizontal="left" vertical="center" wrapText="1" indent="2"/>
      <protection hidden="1"/>
    </xf>
    <xf numFmtId="0" fontId="0" fillId="0" borderId="14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9" xfId="0" applyBorder="1" applyProtection="1">
      <protection hidden="1"/>
    </xf>
    <xf numFmtId="0" fontId="3" fillId="0" borderId="0" xfId="0" applyFont="1" applyProtection="1">
      <protection hidden="1"/>
    </xf>
    <xf numFmtId="0" fontId="6" fillId="0" borderId="15" xfId="0" applyFon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9" xfId="0" applyFont="1" applyBorder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/>
      <protection hidden="1"/>
    </xf>
    <xf numFmtId="0" fontId="11" fillId="3" borderId="19" xfId="0" applyFont="1" applyFill="1" applyBorder="1" applyAlignment="1" applyProtection="1">
      <alignment horizontal="center" vertical="center"/>
      <protection hidden="1"/>
    </xf>
    <xf numFmtId="0" fontId="12" fillId="0" borderId="6" xfId="0" applyFont="1" applyBorder="1" applyProtection="1"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3" fillId="5" borderId="11" xfId="0" applyFont="1" applyFill="1" applyBorder="1" applyAlignment="1" applyProtection="1">
      <alignment horizontal="center" vertical="center"/>
      <protection locked="0" hidden="1"/>
    </xf>
    <xf numFmtId="0" fontId="3" fillId="5" borderId="17" xfId="0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0" fillId="0" borderId="15" xfId="0" applyBorder="1" applyProtection="1">
      <protection locked="0" hidden="1"/>
    </xf>
    <xf numFmtId="0" fontId="0" fillId="0" borderId="19" xfId="0" applyBorder="1" applyProtection="1">
      <protection locked="0" hidden="1"/>
    </xf>
    <xf numFmtId="0" fontId="0" fillId="0" borderId="6" xfId="0" applyBorder="1" applyProtection="1">
      <protection locked="0" hidden="1"/>
    </xf>
    <xf numFmtId="0" fontId="5" fillId="0" borderId="0" xfId="0" applyFont="1" applyAlignment="1" applyProtection="1">
      <alignment horizontal="left" vertical="center"/>
      <protection locked="0" hidden="1"/>
    </xf>
    <xf numFmtId="0" fontId="7" fillId="0" borderId="0" xfId="0" applyFont="1" applyProtection="1"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0" fillId="0" borderId="16" xfId="0" applyBorder="1" applyProtection="1">
      <protection locked="0" hidden="1"/>
    </xf>
    <xf numFmtId="0" fontId="0" fillId="0" borderId="9" xfId="0" applyBorder="1" applyProtection="1">
      <protection locked="0" hidden="1"/>
    </xf>
    <xf numFmtId="0" fontId="3" fillId="3" borderId="0" xfId="0" applyFont="1" applyFill="1" applyAlignment="1" applyProtection="1">
      <alignment horizontal="center" vertical="center"/>
      <protection locked="0" hidden="1"/>
    </xf>
    <xf numFmtId="0" fontId="3" fillId="3" borderId="19" xfId="0" applyFont="1" applyFill="1" applyBorder="1" applyAlignment="1" applyProtection="1">
      <alignment horizontal="center" vertical="center"/>
      <protection locked="0" hidden="1"/>
    </xf>
    <xf numFmtId="0" fontId="10" fillId="5" borderId="16" xfId="0" applyFont="1" applyFill="1" applyBorder="1" applyAlignment="1" applyProtection="1">
      <alignment vertical="center"/>
      <protection hidden="1"/>
    </xf>
    <xf numFmtId="0" fontId="10" fillId="5" borderId="6" xfId="0" applyFont="1" applyFill="1" applyBorder="1" applyAlignment="1" applyProtection="1">
      <alignment vertical="center"/>
      <protection hidden="1"/>
    </xf>
    <xf numFmtId="0" fontId="10" fillId="5" borderId="9" xfId="0" applyFont="1" applyFill="1" applyBorder="1" applyAlignment="1" applyProtection="1">
      <alignment vertical="center"/>
      <protection hidden="1"/>
    </xf>
    <xf numFmtId="0" fontId="0" fillId="3" borderId="19" xfId="0" applyFill="1" applyBorder="1" applyProtection="1"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20" fillId="4" borderId="3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3" fontId="21" fillId="0" borderId="38" xfId="0" applyNumberFormat="1" applyFont="1" applyBorder="1"/>
    <xf numFmtId="3" fontId="21" fillId="0" borderId="30" xfId="0" applyNumberFormat="1" applyFont="1" applyBorder="1"/>
    <xf numFmtId="3" fontId="21" fillId="0" borderId="39" xfId="0" applyNumberFormat="1" applyFont="1" applyBorder="1"/>
    <xf numFmtId="0" fontId="20" fillId="4" borderId="54" xfId="0" applyFont="1" applyFill="1" applyBorder="1" applyAlignment="1">
      <alignment horizontal="center" vertical="center" wrapText="1"/>
    </xf>
    <xf numFmtId="0" fontId="17" fillId="0" borderId="20" xfId="0" applyFont="1" applyBorder="1"/>
    <xf numFmtId="3" fontId="20" fillId="4" borderId="41" xfId="0" applyNumberFormat="1" applyFont="1" applyFill="1" applyBorder="1" applyAlignment="1">
      <alignment horizontal="center" vertical="center"/>
    </xf>
    <xf numFmtId="0" fontId="17" fillId="0" borderId="21" xfId="0" applyFont="1" applyBorder="1"/>
    <xf numFmtId="0" fontId="17" fillId="0" borderId="22" xfId="0" applyFont="1" applyBorder="1"/>
    <xf numFmtId="0" fontId="17" fillId="0" borderId="36" xfId="0" applyFont="1" applyBorder="1"/>
    <xf numFmtId="9" fontId="21" fillId="5" borderId="0" xfId="0" applyNumberFormat="1" applyFont="1" applyFill="1" applyAlignment="1" applyProtection="1">
      <alignment horizontal="center" vertical="center"/>
      <protection locked="0"/>
    </xf>
    <xf numFmtId="0" fontId="19" fillId="7" borderId="12" xfId="0" applyFont="1" applyFill="1" applyBorder="1" applyAlignment="1" applyProtection="1">
      <alignment horizontal="center" vertical="center"/>
      <protection hidden="1"/>
    </xf>
    <xf numFmtId="0" fontId="19" fillId="7" borderId="7" xfId="0" applyFont="1" applyFill="1" applyBorder="1" applyAlignment="1" applyProtection="1">
      <alignment horizontal="center" vertical="center"/>
      <protection hidden="1"/>
    </xf>
    <xf numFmtId="0" fontId="19" fillId="7" borderId="8" xfId="0" applyFont="1" applyFill="1" applyBorder="1" applyAlignment="1" applyProtection="1">
      <alignment horizontal="center" vertical="center"/>
      <protection hidden="1"/>
    </xf>
    <xf numFmtId="0" fontId="13" fillId="2" borderId="14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3" xfId="0" applyFont="1" applyFill="1" applyBorder="1" applyAlignment="1" applyProtection="1">
      <alignment horizontal="center" vertical="center"/>
      <protection hidden="1"/>
    </xf>
    <xf numFmtId="2" fontId="17" fillId="0" borderId="50" xfId="0" applyNumberFormat="1" applyFont="1" applyBorder="1" applyAlignment="1" applyProtection="1">
      <alignment horizontal="left" indent="2"/>
      <protection hidden="1"/>
    </xf>
    <xf numFmtId="2" fontId="17" fillId="0" borderId="33" xfId="0" applyNumberFormat="1" applyFont="1" applyBorder="1" applyAlignment="1" applyProtection="1">
      <alignment horizontal="left" indent="2"/>
      <protection hidden="1"/>
    </xf>
    <xf numFmtId="2" fontId="17" fillId="0" borderId="34" xfId="0" applyNumberFormat="1" applyFont="1" applyBorder="1" applyAlignment="1" applyProtection="1">
      <alignment horizontal="left" indent="2"/>
      <protection hidden="1"/>
    </xf>
    <xf numFmtId="2" fontId="17" fillId="0" borderId="18" xfId="0" applyNumberFormat="1" applyFont="1" applyBorder="1" applyAlignment="1" applyProtection="1">
      <alignment horizontal="left" indent="2"/>
      <protection hidden="1"/>
    </xf>
    <xf numFmtId="2" fontId="17" fillId="0" borderId="52" xfId="0" applyNumberFormat="1" applyFont="1" applyBorder="1" applyAlignment="1" applyProtection="1">
      <alignment horizontal="left" indent="2"/>
      <protection hidden="1"/>
    </xf>
    <xf numFmtId="2" fontId="17" fillId="0" borderId="45" xfId="0" applyNumberFormat="1" applyFont="1" applyBorder="1" applyAlignment="1" applyProtection="1">
      <alignment horizontal="left" indent="2"/>
      <protection hidden="1"/>
    </xf>
    <xf numFmtId="4" fontId="1" fillId="0" borderId="32" xfId="0" applyNumberFormat="1" applyFont="1" applyBorder="1" applyAlignment="1" applyProtection="1">
      <alignment horizontal="center"/>
      <protection hidden="1"/>
    </xf>
    <xf numFmtId="0" fontId="1" fillId="0" borderId="33" xfId="0" applyFont="1" applyBorder="1" applyAlignment="1" applyProtection="1">
      <alignment horizontal="center"/>
      <protection hidden="1"/>
    </xf>
    <xf numFmtId="0" fontId="1" fillId="0" borderId="51" xfId="0" applyFont="1" applyBorder="1" applyAlignment="1" applyProtection="1">
      <alignment horizontal="center"/>
      <protection hidden="1"/>
    </xf>
    <xf numFmtId="0" fontId="1" fillId="0" borderId="39" xfId="0" applyFont="1" applyBorder="1" applyAlignment="1" applyProtection="1">
      <alignment horizontal="center"/>
      <protection hidden="1"/>
    </xf>
    <xf numFmtId="0" fontId="1" fillId="0" borderId="52" xfId="0" applyFont="1" applyBorder="1" applyAlignment="1" applyProtection="1">
      <alignment horizontal="center"/>
      <protection hidden="1"/>
    </xf>
    <xf numFmtId="0" fontId="1" fillId="0" borderId="53" xfId="0" applyFont="1" applyBorder="1" applyAlignment="1" applyProtection="1">
      <alignment horizontal="center"/>
      <protection hidden="1"/>
    </xf>
    <xf numFmtId="0" fontId="13" fillId="2" borderId="41" xfId="0" applyFont="1" applyFill="1" applyBorder="1" applyAlignment="1" applyProtection="1">
      <alignment horizontal="center" vertical="center"/>
      <protection hidden="1"/>
    </xf>
    <xf numFmtId="0" fontId="13" fillId="2" borderId="35" xfId="0" applyFont="1" applyFill="1" applyBorder="1" applyAlignment="1" applyProtection="1">
      <alignment horizontal="center" vertical="center"/>
      <protection hidden="1"/>
    </xf>
    <xf numFmtId="0" fontId="16" fillId="2" borderId="41" xfId="0" applyFont="1" applyFill="1" applyBorder="1" applyAlignment="1" applyProtection="1">
      <alignment horizontal="center" vertical="center" wrapText="1"/>
      <protection hidden="1"/>
    </xf>
    <xf numFmtId="0" fontId="16" fillId="2" borderId="8" xfId="0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40" xfId="0" applyFont="1" applyBorder="1" applyAlignment="1" applyProtection="1">
      <alignment horizontal="left" vertical="center" wrapText="1"/>
      <protection hidden="1"/>
    </xf>
    <xf numFmtId="0" fontId="1" fillId="0" borderId="49" xfId="0" applyFont="1" applyBorder="1" applyAlignment="1" applyProtection="1">
      <alignment horizontal="left" vertical="center" wrapText="1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48" xfId="0" applyFont="1" applyBorder="1" applyAlignment="1" applyProtection="1">
      <alignment horizontal="left" vertical="center" wrapText="1"/>
      <protection hidden="1"/>
    </xf>
    <xf numFmtId="4" fontId="3" fillId="0" borderId="4" xfId="0" applyNumberFormat="1" applyFont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9" fontId="3" fillId="5" borderId="23" xfId="0" applyNumberFormat="1" applyFont="1" applyFill="1" applyBorder="1" applyAlignment="1" applyProtection="1">
      <alignment horizontal="center" vertical="center"/>
      <protection locked="0" hidden="1"/>
    </xf>
    <xf numFmtId="9" fontId="3" fillId="5" borderId="43" xfId="0" applyNumberFormat="1" applyFont="1" applyFill="1" applyBorder="1" applyAlignment="1" applyProtection="1">
      <alignment horizontal="center" vertical="center"/>
      <protection locked="0" hidden="1"/>
    </xf>
    <xf numFmtId="4" fontId="4" fillId="0" borderId="29" xfId="0" applyNumberFormat="1" applyFont="1" applyBorder="1" applyAlignment="1" applyProtection="1">
      <alignment horizontal="center" vertical="center"/>
      <protection hidden="1"/>
    </xf>
    <xf numFmtId="4" fontId="4" fillId="0" borderId="3" xfId="0" applyNumberFormat="1" applyFont="1" applyBorder="1" applyAlignment="1" applyProtection="1">
      <alignment horizontal="center" vertical="center"/>
      <protection hidden="1"/>
    </xf>
    <xf numFmtId="0" fontId="14" fillId="7" borderId="15" xfId="1" applyFont="1" applyFill="1" applyBorder="1" applyAlignment="1" applyProtection="1">
      <alignment horizontal="center" vertical="center" wrapText="1"/>
      <protection hidden="1"/>
    </xf>
    <xf numFmtId="0" fontId="14" fillId="7" borderId="0" xfId="1" applyFont="1" applyFill="1" applyBorder="1" applyAlignment="1" applyProtection="1">
      <alignment horizontal="center" vertical="center" wrapText="1"/>
      <protection hidden="1"/>
    </xf>
    <xf numFmtId="0" fontId="14" fillId="7" borderId="19" xfId="1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2" fillId="0" borderId="0" xfId="1" applyAlignment="1" applyProtection="1">
      <alignment horizontal="left"/>
      <protection hidden="1"/>
    </xf>
    <xf numFmtId="0" fontId="6" fillId="0" borderId="15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19" xfId="0" applyFont="1" applyBorder="1" applyAlignment="1" applyProtection="1">
      <alignment horizontal="left"/>
      <protection hidden="1"/>
    </xf>
    <xf numFmtId="0" fontId="18" fillId="0" borderId="15" xfId="0" applyFont="1" applyBorder="1" applyAlignment="1" applyProtection="1">
      <alignment horizontal="left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19" xfId="0" applyFont="1" applyBorder="1" applyAlignment="1" applyProtection="1">
      <alignment horizontal="left"/>
      <protection hidden="1"/>
    </xf>
    <xf numFmtId="0" fontId="6" fillId="0" borderId="16" xfId="0" applyFont="1" applyBorder="1" applyAlignment="1" applyProtection="1">
      <alignment horizontal="left" vertical="top"/>
      <protection hidden="1"/>
    </xf>
    <xf numFmtId="0" fontId="6" fillId="0" borderId="6" xfId="0" applyFont="1" applyBorder="1" applyAlignment="1" applyProtection="1">
      <alignment horizontal="left" vertical="top"/>
      <protection hidden="1"/>
    </xf>
    <xf numFmtId="0" fontId="6" fillId="0" borderId="9" xfId="0" applyFont="1" applyBorder="1" applyAlignment="1" applyProtection="1">
      <alignment horizontal="left" vertical="top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13" xfId="0" applyFont="1" applyFill="1" applyBorder="1" applyAlignment="1" applyProtection="1">
      <alignment horizontal="center" vertical="center" wrapText="1"/>
      <protection hidden="1"/>
    </xf>
    <xf numFmtId="0" fontId="0" fillId="0" borderId="3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14">
    <dxf>
      <font>
        <color theme="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checked="Checked" firstButton="1" fmlaLink="$B$24" lockText="1" noThreeD="1"/>
</file>

<file path=xl/ctrlProps/ctrlProp13.xml><?xml version="1.0" encoding="utf-8"?>
<formControlPr xmlns="http://schemas.microsoft.com/office/spreadsheetml/2009/9/main" objectType="Radio" firstButton="1" fmlaLink="$U$23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B$16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</xdr:colOff>
      <xdr:row>14</xdr:row>
      <xdr:rowOff>15240</xdr:rowOff>
    </xdr:from>
    <xdr:to>
      <xdr:col>2</xdr:col>
      <xdr:colOff>557823</xdr:colOff>
      <xdr:row>14</xdr:row>
      <xdr:rowOff>472480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" y="3802380"/>
          <a:ext cx="451143" cy="457240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</xdr:colOff>
      <xdr:row>14</xdr:row>
      <xdr:rowOff>15240</xdr:rowOff>
    </xdr:from>
    <xdr:to>
      <xdr:col>4</xdr:col>
      <xdr:colOff>551727</xdr:colOff>
      <xdr:row>14</xdr:row>
      <xdr:rowOff>472480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7840" y="3802380"/>
          <a:ext cx="445047" cy="457240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14</xdr:row>
      <xdr:rowOff>15240</xdr:rowOff>
    </xdr:from>
    <xdr:to>
      <xdr:col>6</xdr:col>
      <xdr:colOff>557823</xdr:colOff>
      <xdr:row>14</xdr:row>
      <xdr:rowOff>472480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58440" y="3802380"/>
          <a:ext cx="451143" cy="457240"/>
        </a:xfrm>
        <a:prstGeom prst="rect">
          <a:avLst/>
        </a:prstGeom>
      </xdr:spPr>
    </xdr:pic>
    <xdr:clientData/>
  </xdr:twoCellAnchor>
  <xdr:twoCellAnchor editAs="oneCell">
    <xdr:from>
      <xdr:col>8</xdr:col>
      <xdr:colOff>106680</xdr:colOff>
      <xdr:row>14</xdr:row>
      <xdr:rowOff>15240</xdr:rowOff>
    </xdr:from>
    <xdr:to>
      <xdr:col>8</xdr:col>
      <xdr:colOff>551727</xdr:colOff>
      <xdr:row>14</xdr:row>
      <xdr:rowOff>472480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9040" y="3802380"/>
          <a:ext cx="445047" cy="457240"/>
        </a:xfrm>
        <a:prstGeom prst="rect">
          <a:avLst/>
        </a:prstGeom>
      </xdr:spPr>
    </xdr:pic>
    <xdr:clientData/>
  </xdr:twoCellAnchor>
  <xdr:twoCellAnchor editAs="oneCell">
    <xdr:from>
      <xdr:col>10</xdr:col>
      <xdr:colOff>106680</xdr:colOff>
      <xdr:row>14</xdr:row>
      <xdr:rowOff>15240</xdr:rowOff>
    </xdr:from>
    <xdr:to>
      <xdr:col>10</xdr:col>
      <xdr:colOff>557823</xdr:colOff>
      <xdr:row>14</xdr:row>
      <xdr:rowOff>472480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39640" y="3802380"/>
          <a:ext cx="451143" cy="457240"/>
        </a:xfrm>
        <a:prstGeom prst="rect">
          <a:avLst/>
        </a:prstGeom>
      </xdr:spPr>
    </xdr:pic>
    <xdr:clientData/>
  </xdr:twoCellAnchor>
  <xdr:twoCellAnchor editAs="oneCell">
    <xdr:from>
      <xdr:col>14</xdr:col>
      <xdr:colOff>106680</xdr:colOff>
      <xdr:row>14</xdr:row>
      <xdr:rowOff>15240</xdr:rowOff>
    </xdr:from>
    <xdr:to>
      <xdr:col>14</xdr:col>
      <xdr:colOff>557823</xdr:colOff>
      <xdr:row>14</xdr:row>
      <xdr:rowOff>472480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30240" y="3802380"/>
          <a:ext cx="451143" cy="457240"/>
        </a:xfrm>
        <a:prstGeom prst="rect">
          <a:avLst/>
        </a:prstGeom>
      </xdr:spPr>
    </xdr:pic>
    <xdr:clientData/>
  </xdr:twoCellAnchor>
  <xdr:twoCellAnchor editAs="oneCell">
    <xdr:from>
      <xdr:col>16</xdr:col>
      <xdr:colOff>106680</xdr:colOff>
      <xdr:row>14</xdr:row>
      <xdr:rowOff>15240</xdr:rowOff>
    </xdr:from>
    <xdr:to>
      <xdr:col>16</xdr:col>
      <xdr:colOff>557823</xdr:colOff>
      <xdr:row>14</xdr:row>
      <xdr:rowOff>472480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20840" y="3802380"/>
          <a:ext cx="451143" cy="457240"/>
        </a:xfrm>
        <a:prstGeom prst="rect">
          <a:avLst/>
        </a:prstGeom>
      </xdr:spPr>
    </xdr:pic>
    <xdr:clientData/>
  </xdr:twoCellAnchor>
  <xdr:twoCellAnchor editAs="oneCell">
    <xdr:from>
      <xdr:col>18</xdr:col>
      <xdr:colOff>106680</xdr:colOff>
      <xdr:row>14</xdr:row>
      <xdr:rowOff>15240</xdr:rowOff>
    </xdr:from>
    <xdr:to>
      <xdr:col>18</xdr:col>
      <xdr:colOff>557823</xdr:colOff>
      <xdr:row>14</xdr:row>
      <xdr:rowOff>472480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11440" y="3802380"/>
          <a:ext cx="451143" cy="4572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12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2067" name="Group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15</xdr:row>
          <xdr:rowOff>38100</xdr:rowOff>
        </xdr:from>
        <xdr:to>
          <xdr:col>2</xdr:col>
          <xdr:colOff>514350</xdr:colOff>
          <xdr:row>15</xdr:row>
          <xdr:rowOff>219075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15</xdr:row>
          <xdr:rowOff>38100</xdr:rowOff>
        </xdr:from>
        <xdr:to>
          <xdr:col>4</xdr:col>
          <xdr:colOff>514350</xdr:colOff>
          <xdr:row>15</xdr:row>
          <xdr:rowOff>219075</xdr:rowOff>
        </xdr:to>
        <xdr:sp macro="" textlink="">
          <xdr:nvSpPr>
            <xdr:cNvPr id="2069" name="Option 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15</xdr:row>
          <xdr:rowOff>38100</xdr:rowOff>
        </xdr:from>
        <xdr:to>
          <xdr:col>6</xdr:col>
          <xdr:colOff>514350</xdr:colOff>
          <xdr:row>15</xdr:row>
          <xdr:rowOff>219075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15</xdr:row>
          <xdr:rowOff>38100</xdr:rowOff>
        </xdr:from>
        <xdr:to>
          <xdr:col>8</xdr:col>
          <xdr:colOff>514350</xdr:colOff>
          <xdr:row>15</xdr:row>
          <xdr:rowOff>219075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38100</xdr:rowOff>
        </xdr:from>
        <xdr:to>
          <xdr:col>10</xdr:col>
          <xdr:colOff>514350</xdr:colOff>
          <xdr:row>15</xdr:row>
          <xdr:rowOff>219075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15</xdr:row>
          <xdr:rowOff>38100</xdr:rowOff>
        </xdr:from>
        <xdr:to>
          <xdr:col>14</xdr:col>
          <xdr:colOff>514350</xdr:colOff>
          <xdr:row>15</xdr:row>
          <xdr:rowOff>219075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15</xdr:row>
          <xdr:rowOff>38100</xdr:rowOff>
        </xdr:from>
        <xdr:to>
          <xdr:col>16</xdr:col>
          <xdr:colOff>514350</xdr:colOff>
          <xdr:row>15</xdr:row>
          <xdr:rowOff>219075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15</xdr:row>
          <xdr:rowOff>38100</xdr:rowOff>
        </xdr:from>
        <xdr:to>
          <xdr:col>18</xdr:col>
          <xdr:colOff>514350</xdr:colOff>
          <xdr:row>15</xdr:row>
          <xdr:rowOff>219075</xdr:rowOff>
        </xdr:to>
        <xdr:sp macro="" textlink="">
          <xdr:nvSpPr>
            <xdr:cNvPr id="2075" name="Option Butto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438573</xdr:colOff>
      <xdr:row>21</xdr:row>
      <xdr:rowOff>38100</xdr:rowOff>
    </xdr:from>
    <xdr:to>
      <xdr:col>4</xdr:col>
      <xdr:colOff>714587</xdr:colOff>
      <xdr:row>24</xdr:row>
      <xdr:rowOff>43084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59373" y="5405967"/>
          <a:ext cx="1198881" cy="1004051"/>
        </a:xfrm>
        <a:prstGeom prst="rect">
          <a:avLst/>
        </a:prstGeom>
      </xdr:spPr>
    </xdr:pic>
    <xdr:clientData/>
  </xdr:twoCellAnchor>
  <xdr:twoCellAnchor editAs="oneCell">
    <xdr:from>
      <xdr:col>12</xdr:col>
      <xdr:colOff>246379</xdr:colOff>
      <xdr:row>21</xdr:row>
      <xdr:rowOff>155787</xdr:rowOff>
    </xdr:from>
    <xdr:to>
      <xdr:col>14</xdr:col>
      <xdr:colOff>595100</xdr:colOff>
      <xdr:row>23</xdr:row>
      <xdr:rowOff>311573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81512" y="5523654"/>
          <a:ext cx="1271588" cy="81618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2082" name="Group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19</xdr:col>
          <xdr:colOff>0</xdr:colOff>
          <xdr:row>25</xdr:row>
          <xdr:rowOff>0</xdr:rowOff>
        </xdr:to>
        <xdr:sp macro="" textlink="">
          <xdr:nvSpPr>
            <xdr:cNvPr id="2083" name="Group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22</xdr:row>
          <xdr:rowOff>47625</xdr:rowOff>
        </xdr:from>
        <xdr:to>
          <xdr:col>7</xdr:col>
          <xdr:colOff>161925</xdr:colOff>
          <xdr:row>22</xdr:row>
          <xdr:rowOff>304800</xdr:rowOff>
        </xdr:to>
        <xdr:sp macro="" textlink="">
          <xdr:nvSpPr>
            <xdr:cNvPr id="2089" name="Option Butto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742950</xdr:colOff>
          <xdr:row>22</xdr:row>
          <xdr:rowOff>38100</xdr:rowOff>
        </xdr:from>
        <xdr:to>
          <xdr:col>18</xdr:col>
          <xdr:colOff>85725</xdr:colOff>
          <xdr:row>22</xdr:row>
          <xdr:rowOff>323850</xdr:rowOff>
        </xdr:to>
        <xdr:sp macro="" textlink="">
          <xdr:nvSpPr>
            <xdr:cNvPr id="2092" name="Option Butto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301412</xdr:colOff>
      <xdr:row>4</xdr:row>
      <xdr:rowOff>39793</xdr:rowOff>
    </xdr:from>
    <xdr:to>
      <xdr:col>18</xdr:col>
      <xdr:colOff>151553</xdr:colOff>
      <xdr:row>9</xdr:row>
      <xdr:rowOff>167446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81332" y="1106593"/>
          <a:ext cx="772160" cy="1354473"/>
        </a:xfrm>
        <a:prstGeom prst="rect">
          <a:avLst/>
        </a:prstGeom>
      </xdr:spPr>
    </xdr:pic>
    <xdr:clientData/>
  </xdr:twoCellAnchor>
  <xdr:twoCellAnchor editAs="oneCell">
    <xdr:from>
      <xdr:col>14</xdr:col>
      <xdr:colOff>414868</xdr:colOff>
      <xdr:row>6</xdr:row>
      <xdr:rowOff>121074</xdr:rowOff>
    </xdr:from>
    <xdr:to>
      <xdr:col>16</xdr:col>
      <xdr:colOff>274106</xdr:colOff>
      <xdr:row>9</xdr:row>
      <xdr:rowOff>53340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12468" y="1577341"/>
          <a:ext cx="782105" cy="770466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169332</xdr:colOff>
      <xdr:row>3</xdr:row>
      <xdr:rowOff>203200</xdr:rowOff>
    </xdr:from>
    <xdr:to>
      <xdr:col>4</xdr:col>
      <xdr:colOff>513361</xdr:colOff>
      <xdr:row>5</xdr:row>
      <xdr:rowOff>8467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9732" y="922867"/>
          <a:ext cx="1266896" cy="270933"/>
        </a:xfrm>
        <a:prstGeom prst="rect">
          <a:avLst/>
        </a:prstGeom>
      </xdr:spPr>
    </xdr:pic>
    <xdr:clientData/>
  </xdr:twoCellAnchor>
  <xdr:twoCellAnchor editAs="oneCell">
    <xdr:from>
      <xdr:col>2</xdr:col>
      <xdr:colOff>118534</xdr:colOff>
      <xdr:row>5</xdr:row>
      <xdr:rowOff>262468</xdr:rowOff>
    </xdr:from>
    <xdr:to>
      <xdr:col>4</xdr:col>
      <xdr:colOff>618066</xdr:colOff>
      <xdr:row>7</xdr:row>
      <xdr:rowOff>22068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8934" y="1447801"/>
          <a:ext cx="1422399" cy="29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47625</xdr:rowOff>
        </xdr:from>
        <xdr:to>
          <xdr:col>7</xdr:col>
          <xdr:colOff>161925</xdr:colOff>
          <xdr:row>23</xdr:row>
          <xdr:rowOff>304800</xdr:rowOff>
        </xdr:to>
        <xdr:sp macro="" textlink="">
          <xdr:nvSpPr>
            <xdr:cNvPr id="2094" name="Option Butto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742950</xdr:colOff>
          <xdr:row>23</xdr:row>
          <xdr:rowOff>38100</xdr:rowOff>
        </xdr:from>
        <xdr:to>
          <xdr:col>18</xdr:col>
          <xdr:colOff>85725</xdr:colOff>
          <xdr:row>23</xdr:row>
          <xdr:rowOff>323850</xdr:rowOff>
        </xdr:to>
        <xdr:sp macro="" textlink="">
          <xdr:nvSpPr>
            <xdr:cNvPr id="2095" name="Option Button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15</xdr:row>
          <xdr:rowOff>38100</xdr:rowOff>
        </xdr:from>
        <xdr:to>
          <xdr:col>12</xdr:col>
          <xdr:colOff>514350</xdr:colOff>
          <xdr:row>15</xdr:row>
          <xdr:rowOff>219075</xdr:rowOff>
        </xdr:to>
        <xdr:sp macro="" textlink="">
          <xdr:nvSpPr>
            <xdr:cNvPr id="2096" name="Option Butto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24</xdr:col>
      <xdr:colOff>0</xdr:colOff>
      <xdr:row>23</xdr:row>
      <xdr:rowOff>0</xdr:rowOff>
    </xdr:from>
    <xdr:to>
      <xdr:col>24</xdr:col>
      <xdr:colOff>304800</xdr:colOff>
      <xdr:row>23</xdr:row>
      <xdr:rowOff>304800</xdr:rowOff>
    </xdr:to>
    <xdr:sp macro="" textlink="">
      <xdr:nvSpPr>
        <xdr:cNvPr id="2102" name="AutoShape 54" descr="Picture background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1445240" y="5623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15</xdr:row>
      <xdr:rowOff>0</xdr:rowOff>
    </xdr:from>
    <xdr:to>
      <xdr:col>23</xdr:col>
      <xdr:colOff>304800</xdr:colOff>
      <xdr:row>16</xdr:row>
      <xdr:rowOff>60960</xdr:rowOff>
    </xdr:to>
    <xdr:sp macro="" textlink="">
      <xdr:nvSpPr>
        <xdr:cNvPr id="2103" name="AutoShape 55" descr="Picture background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82300" y="3825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110068</xdr:colOff>
      <xdr:row>14</xdr:row>
      <xdr:rowOff>16933</xdr:rowOff>
    </xdr:from>
    <xdr:to>
      <xdr:col>12</xdr:col>
      <xdr:colOff>560068</xdr:colOff>
      <xdr:row>14</xdr:row>
      <xdr:rowOff>474133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380568" y="3308350"/>
          <a:ext cx="450000" cy="457200"/>
          <a:chOff x="5384801" y="3344333"/>
          <a:chExt cx="450000" cy="457200"/>
        </a:xfrm>
      </xdr:grpSpPr>
      <xdr:pic>
        <xdr:nvPicPr>
          <xdr:cNvPr id="2" name="Рисунок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5384801" y="3344333"/>
            <a:ext cx="450000" cy="457200"/>
          </a:xfrm>
          <a:prstGeom prst="rect">
            <a:avLst/>
          </a:prstGeom>
        </xdr:spPr>
      </xdr:pic>
      <xdr:pic>
        <xdr:nvPicPr>
          <xdr:cNvPr id="47" name="Рисунок 46" descr="Picture background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93268" y="3344335"/>
            <a:ext cx="277861" cy="279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52</xdr:row>
      <xdr:rowOff>76200</xdr:rowOff>
    </xdr:from>
    <xdr:to>
      <xdr:col>0</xdr:col>
      <xdr:colOff>1735744</xdr:colOff>
      <xdr:row>55</xdr:row>
      <xdr:rowOff>160019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11971020"/>
          <a:ext cx="1651924" cy="861059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56</xdr:row>
      <xdr:rowOff>68580</xdr:rowOff>
    </xdr:from>
    <xdr:to>
      <xdr:col>0</xdr:col>
      <xdr:colOff>1286352</xdr:colOff>
      <xdr:row>58</xdr:row>
      <xdr:rowOff>214942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" y="10119360"/>
          <a:ext cx="1103472" cy="664522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60</xdr:row>
      <xdr:rowOff>175259</xdr:rowOff>
    </xdr:from>
    <xdr:to>
      <xdr:col>0</xdr:col>
      <xdr:colOff>1607820</xdr:colOff>
      <xdr:row>63</xdr:row>
      <xdr:rowOff>143772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" y="10820399"/>
          <a:ext cx="1485900" cy="7457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30480</xdr:rowOff>
    </xdr:from>
    <xdr:to>
      <xdr:col>0</xdr:col>
      <xdr:colOff>979222</xdr:colOff>
      <xdr:row>51</xdr:row>
      <xdr:rowOff>7620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88980"/>
          <a:ext cx="979222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</xdr:row>
      <xdr:rowOff>53340</xdr:rowOff>
    </xdr:from>
    <xdr:to>
      <xdr:col>0</xdr:col>
      <xdr:colOff>1516380</xdr:colOff>
      <xdr:row>5</xdr:row>
      <xdr:rowOff>32942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" y="548640"/>
          <a:ext cx="1501140" cy="756842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6</xdr:row>
      <xdr:rowOff>30480</xdr:rowOff>
    </xdr:from>
    <xdr:to>
      <xdr:col>0</xdr:col>
      <xdr:colOff>1524000</xdr:colOff>
      <xdr:row>10</xdr:row>
      <xdr:rowOff>226314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700" y="1562100"/>
          <a:ext cx="1257300" cy="1232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30480</xdr:rowOff>
    </xdr:from>
    <xdr:to>
      <xdr:col>0</xdr:col>
      <xdr:colOff>1501140</xdr:colOff>
      <xdr:row>14</xdr:row>
      <xdr:rowOff>10082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98420"/>
          <a:ext cx="1501140" cy="756842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14</xdr:row>
      <xdr:rowOff>236220</xdr:rowOff>
    </xdr:from>
    <xdr:to>
      <xdr:col>0</xdr:col>
      <xdr:colOff>1508760</xdr:colOff>
      <xdr:row>19</xdr:row>
      <xdr:rowOff>172974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460" y="3840480"/>
          <a:ext cx="1257300" cy="1232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38100</xdr:rowOff>
    </xdr:from>
    <xdr:to>
      <xdr:col>0</xdr:col>
      <xdr:colOff>1501140</xdr:colOff>
      <xdr:row>23</xdr:row>
      <xdr:rowOff>17702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678680"/>
          <a:ext cx="1501140" cy="756842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23</xdr:row>
      <xdr:rowOff>236220</xdr:rowOff>
    </xdr:from>
    <xdr:to>
      <xdr:col>0</xdr:col>
      <xdr:colOff>1508760</xdr:colOff>
      <xdr:row>28</xdr:row>
      <xdr:rowOff>172974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460" y="5394960"/>
          <a:ext cx="1257300" cy="123215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29</xdr:row>
      <xdr:rowOff>45720</xdr:rowOff>
    </xdr:from>
    <xdr:to>
      <xdr:col>0</xdr:col>
      <xdr:colOff>1516380</xdr:colOff>
      <xdr:row>32</xdr:row>
      <xdr:rowOff>25322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" y="6758940"/>
          <a:ext cx="1501140" cy="756842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32</xdr:row>
      <xdr:rowOff>236220</xdr:rowOff>
    </xdr:from>
    <xdr:to>
      <xdr:col>0</xdr:col>
      <xdr:colOff>1508760</xdr:colOff>
      <xdr:row>37</xdr:row>
      <xdr:rowOff>172974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460" y="7467600"/>
          <a:ext cx="1257300" cy="123215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38</xdr:row>
      <xdr:rowOff>30480</xdr:rowOff>
    </xdr:from>
    <xdr:to>
      <xdr:col>0</xdr:col>
      <xdr:colOff>1531620</xdr:colOff>
      <xdr:row>41</xdr:row>
      <xdr:rowOff>10082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480" y="8816340"/>
          <a:ext cx="1501140" cy="756842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41</xdr:row>
      <xdr:rowOff>236220</xdr:rowOff>
    </xdr:from>
    <xdr:to>
      <xdr:col>0</xdr:col>
      <xdr:colOff>1508760</xdr:colOff>
      <xdr:row>46</xdr:row>
      <xdr:rowOff>172974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460" y="9540240"/>
          <a:ext cx="1257300" cy="123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Молочное стекло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disk.yandex.ru/i/wY9uJ5fnFzIwuA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https://www.schock.ru/upload/iblock/c0a/yvmza35ge5zfduezj4e27cf80wgzyxin/ALUMOVE_ESTET_Colors.pdf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1:Y36"/>
  <sheetViews>
    <sheetView showGridLines="0" tabSelected="1" zoomScale="90" zoomScaleNormal="90" workbookViewId="0">
      <selection activeCell="AB15" sqref="AA15:AB15"/>
    </sheetView>
  </sheetViews>
  <sheetFormatPr defaultColWidth="8.75" defaultRowHeight="15.75" x14ac:dyDescent="0.25"/>
  <cols>
    <col min="1" max="1" width="8.75" style="1"/>
    <col min="2" max="2" width="8.75" style="1" hidden="1" customWidth="1"/>
    <col min="3" max="3" width="9.875" style="1" customWidth="1"/>
    <col min="4" max="4" width="2.25" style="1" customWidth="1"/>
    <col min="5" max="5" width="9.875" style="1" customWidth="1"/>
    <col min="6" max="6" width="2.25" style="1" customWidth="1"/>
    <col min="7" max="7" width="9.875" style="1" customWidth="1"/>
    <col min="8" max="8" width="2.25" style="1" customWidth="1"/>
    <col min="9" max="9" width="9.875" style="1" customWidth="1"/>
    <col min="10" max="10" width="2.25" style="1" customWidth="1"/>
    <col min="11" max="11" width="9.875" style="1" customWidth="1"/>
    <col min="12" max="12" width="2.25" style="1" customWidth="1"/>
    <col min="13" max="13" width="9.875" style="1" customWidth="1"/>
    <col min="14" max="14" width="2.25" style="1" customWidth="1"/>
    <col min="15" max="15" width="9.875" style="1" customWidth="1"/>
    <col min="16" max="16" width="2.25" style="1" customWidth="1"/>
    <col min="17" max="17" width="9.875" style="1" customWidth="1"/>
    <col min="18" max="18" width="2.25" style="1" customWidth="1"/>
    <col min="19" max="19" width="9.875" style="1" customWidth="1"/>
    <col min="20" max="20" width="8.75" style="1"/>
    <col min="21" max="21" width="8.75" style="1" hidden="1" customWidth="1"/>
    <col min="22" max="16384" width="8.75" style="1"/>
  </cols>
  <sheetData>
    <row r="1" spans="2:24" ht="16.5" thickBot="1" x14ac:dyDescent="0.3"/>
    <row r="2" spans="2:24" ht="24.6" customHeight="1" thickBot="1" x14ac:dyDescent="0.3">
      <c r="C2" s="97" t="s">
        <v>59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9"/>
    </row>
    <row r="3" spans="2:24" ht="16.5" thickBot="1" x14ac:dyDescent="0.3"/>
    <row r="4" spans="2:24" ht="27" customHeight="1" x14ac:dyDescent="0.25">
      <c r="C4" s="45"/>
      <c r="D4" s="46"/>
      <c r="E4" s="47"/>
      <c r="G4" s="100" t="s">
        <v>65</v>
      </c>
      <c r="H4" s="101"/>
      <c r="I4" s="101"/>
      <c r="J4" s="101"/>
      <c r="K4" s="101"/>
      <c r="L4" s="101"/>
      <c r="M4" s="102"/>
      <c r="O4" s="100" t="s">
        <v>101</v>
      </c>
      <c r="P4" s="101"/>
      <c r="Q4" s="101"/>
      <c r="R4" s="101"/>
      <c r="S4" s="102"/>
    </row>
    <row r="5" spans="2:24" ht="9.6" customHeight="1" thickBot="1" x14ac:dyDescent="0.3">
      <c r="C5" s="48"/>
      <c r="E5" s="49"/>
      <c r="G5" s="48"/>
      <c r="M5" s="83"/>
      <c r="O5" s="48"/>
      <c r="S5" s="49"/>
    </row>
    <row r="6" spans="2:24" ht="21" customHeight="1" thickBot="1" x14ac:dyDescent="0.3">
      <c r="C6" s="48"/>
      <c r="E6" s="49"/>
      <c r="G6" s="48"/>
      <c r="H6" s="50" t="s">
        <v>63</v>
      </c>
      <c r="K6" s="67"/>
      <c r="L6" s="78"/>
      <c r="M6" s="79"/>
      <c r="O6" s="51"/>
      <c r="S6" s="49"/>
    </row>
    <row r="7" spans="2:24" ht="20.45" customHeight="1" thickBot="1" x14ac:dyDescent="0.3">
      <c r="C7" s="48"/>
      <c r="E7" s="49"/>
      <c r="G7" s="48"/>
      <c r="H7" s="50" t="s">
        <v>64</v>
      </c>
      <c r="K7" s="68"/>
      <c r="L7" s="78"/>
      <c r="M7" s="79"/>
      <c r="O7" s="51"/>
      <c r="S7" s="49"/>
    </row>
    <row r="8" spans="2:24" ht="30" customHeight="1" x14ac:dyDescent="0.25">
      <c r="C8" s="48"/>
      <c r="E8" s="49"/>
      <c r="G8" s="146" t="s">
        <v>115</v>
      </c>
      <c r="H8" s="147"/>
      <c r="I8" s="147"/>
      <c r="J8" s="147"/>
      <c r="K8" s="147"/>
      <c r="L8" s="147"/>
      <c r="M8" s="148"/>
      <c r="O8" s="51"/>
      <c r="S8" s="49"/>
    </row>
    <row r="9" spans="2:24" ht="15.6" customHeight="1" x14ac:dyDescent="0.25">
      <c r="C9" s="141" t="s">
        <v>100</v>
      </c>
      <c r="D9" s="142"/>
      <c r="E9" s="143"/>
      <c r="G9" s="149" t="s">
        <v>102</v>
      </c>
      <c r="H9" s="150"/>
      <c r="I9" s="150"/>
      <c r="J9" s="150"/>
      <c r="K9" s="150"/>
      <c r="L9" s="150"/>
      <c r="M9" s="151"/>
      <c r="O9" s="51"/>
      <c r="S9" s="49"/>
      <c r="X9"/>
    </row>
    <row r="10" spans="2:24" ht="15.6" customHeight="1" x14ac:dyDescent="0.25">
      <c r="C10" s="141"/>
      <c r="D10" s="142"/>
      <c r="E10" s="143"/>
      <c r="G10" s="146" t="s">
        <v>116</v>
      </c>
      <c r="H10" s="147"/>
      <c r="I10" s="147"/>
      <c r="J10" s="147"/>
      <c r="K10" s="147"/>
      <c r="L10" s="147"/>
      <c r="M10" s="148"/>
      <c r="O10" s="48"/>
      <c r="S10" s="49"/>
    </row>
    <row r="11" spans="2:24" ht="21" customHeight="1" thickBot="1" x14ac:dyDescent="0.3">
      <c r="C11" s="52"/>
      <c r="D11" s="53"/>
      <c r="E11" s="54"/>
      <c r="G11" s="152" t="s">
        <v>103</v>
      </c>
      <c r="H11" s="153"/>
      <c r="I11" s="153"/>
      <c r="J11" s="153"/>
      <c r="K11" s="153"/>
      <c r="L11" s="153"/>
      <c r="M11" s="154"/>
      <c r="O11" s="80" t="s">
        <v>104</v>
      </c>
      <c r="P11" s="81"/>
      <c r="Q11" s="81"/>
      <c r="R11" s="81"/>
      <c r="S11" s="82"/>
      <c r="V11"/>
    </row>
    <row r="12" spans="2:24" ht="18.600000000000001" customHeight="1" thickBot="1" x14ac:dyDescent="0.3">
      <c r="W12"/>
    </row>
    <row r="13" spans="2:24" s="55" customFormat="1" ht="22.15" customHeight="1" x14ac:dyDescent="0.25">
      <c r="C13" s="100" t="s">
        <v>60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2"/>
      <c r="W13"/>
    </row>
    <row r="14" spans="2:24" ht="4.1500000000000004" customHeight="1" x14ac:dyDescent="0.25">
      <c r="C14" s="48"/>
      <c r="S14" s="49"/>
    </row>
    <row r="15" spans="2:24" ht="39" customHeight="1" x14ac:dyDescent="0.25">
      <c r="C15" s="48"/>
      <c r="S15" s="49"/>
      <c r="W15"/>
      <c r="X15"/>
    </row>
    <row r="16" spans="2:24" ht="19.149999999999999" customHeight="1" x14ac:dyDescent="0.25">
      <c r="B16" s="69">
        <v>2</v>
      </c>
      <c r="C16" s="70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71"/>
      <c r="U16" s="1" t="str">
        <f>IF(B16=C18,C17,IF(B16=E18,E17,IF(B16=G18,G17,IF(B16=I18,I17,IF(B16=K18,K17,IF(B16=O18,O17,IF(B16=Q18,Q17,IF(B16=S18,S17,IF(B16=M18,M17)))))))))</f>
        <v>антрацит</v>
      </c>
      <c r="W16"/>
      <c r="X16"/>
    </row>
    <row r="17" spans="2:25" ht="24.75" thickBot="1" x14ac:dyDescent="0.3">
      <c r="C17" s="56" t="s">
        <v>61</v>
      </c>
      <c r="D17" s="57"/>
      <c r="E17" s="57" t="s">
        <v>2</v>
      </c>
      <c r="F17" s="57"/>
      <c r="G17" s="57" t="s">
        <v>4</v>
      </c>
      <c r="H17" s="57"/>
      <c r="I17" s="57" t="s">
        <v>3</v>
      </c>
      <c r="J17" s="57"/>
      <c r="K17" s="57" t="s">
        <v>62</v>
      </c>
      <c r="L17" s="57"/>
      <c r="M17" s="57" t="s">
        <v>114</v>
      </c>
      <c r="N17" s="57"/>
      <c r="O17" s="57" t="s">
        <v>7</v>
      </c>
      <c r="P17" s="57"/>
      <c r="Q17" s="57" t="s">
        <v>6</v>
      </c>
      <c r="R17" s="57"/>
      <c r="S17" s="58" t="s">
        <v>5</v>
      </c>
      <c r="U17" s="1" t="str">
        <f>IF(B16=C18,C19,IF(B16=E18,E19,IF(B16=G18,G19,IF(B16=I18,I19,IF(B16=K18,K19,IF(B16=O18,O19,IF(B16=Q18,Q19,IF(B16=S18,S19,IF(B16=M18,M19)))))))))</f>
        <v>A</v>
      </c>
      <c r="V17"/>
      <c r="W17"/>
    </row>
    <row r="18" spans="2:25" hidden="1" x14ac:dyDescent="0.25">
      <c r="C18" s="59">
        <v>1</v>
      </c>
      <c r="D18" s="59"/>
      <c r="E18" s="59">
        <v>2</v>
      </c>
      <c r="F18" s="59"/>
      <c r="G18" s="59">
        <v>3</v>
      </c>
      <c r="H18" s="59"/>
      <c r="I18" s="59">
        <v>4</v>
      </c>
      <c r="J18" s="59"/>
      <c r="K18" s="59">
        <v>5</v>
      </c>
      <c r="L18" s="59"/>
      <c r="M18" s="59">
        <v>9</v>
      </c>
      <c r="N18" s="59"/>
      <c r="O18" s="59">
        <v>6</v>
      </c>
      <c r="P18" s="59"/>
      <c r="Q18" s="59">
        <v>7</v>
      </c>
      <c r="R18" s="59"/>
      <c r="S18" s="59">
        <v>8</v>
      </c>
    </row>
    <row r="19" spans="2:25" s="60" customFormat="1" hidden="1" x14ac:dyDescent="0.25">
      <c r="C19" s="60" t="s">
        <v>90</v>
      </c>
      <c r="E19" s="60" t="s">
        <v>91</v>
      </c>
      <c r="G19" s="60" t="s">
        <v>92</v>
      </c>
      <c r="I19" s="60" t="s">
        <v>93</v>
      </c>
      <c r="K19" s="60" t="s">
        <v>94</v>
      </c>
      <c r="M19" s="60" t="s">
        <v>117</v>
      </c>
      <c r="O19" s="60" t="s">
        <v>95</v>
      </c>
      <c r="Q19" s="60" t="s">
        <v>96</v>
      </c>
      <c r="S19" s="60" t="s">
        <v>97</v>
      </c>
    </row>
    <row r="20" spans="2:25" ht="19.899999999999999" customHeight="1" thickBot="1" x14ac:dyDescent="0.3">
      <c r="Y20"/>
    </row>
    <row r="21" spans="2:25" s="69" customFormat="1" ht="26.45" customHeight="1" x14ac:dyDescent="0.25">
      <c r="C21" s="100" t="s">
        <v>81</v>
      </c>
      <c r="D21" s="101"/>
      <c r="E21" s="101"/>
      <c r="F21" s="101"/>
      <c r="G21" s="101"/>
      <c r="H21" s="101"/>
      <c r="I21" s="101"/>
      <c r="J21" s="102"/>
      <c r="L21" s="155" t="s">
        <v>82</v>
      </c>
      <c r="M21" s="156"/>
      <c r="N21" s="156"/>
      <c r="O21" s="156"/>
      <c r="P21" s="156"/>
      <c r="Q21" s="156"/>
      <c r="R21" s="156"/>
      <c r="S21" s="157"/>
      <c r="U21" s="69" t="str">
        <f>IF(B24=1,"с присадками","без присадок")</f>
        <v>с присадками</v>
      </c>
      <c r="X21"/>
    </row>
    <row r="22" spans="2:25" s="69" customFormat="1" ht="25.15" customHeight="1" x14ac:dyDescent="0.25">
      <c r="C22" s="70"/>
      <c r="J22" s="71"/>
      <c r="L22" s="70"/>
      <c r="S22" s="71"/>
      <c r="U22" s="69" t="str">
        <f>IF(U23=1,"с петлями","без петель")</f>
        <v>без петель</v>
      </c>
      <c r="Y22"/>
    </row>
    <row r="23" spans="2:25" s="69" customFormat="1" ht="26.45" customHeight="1" x14ac:dyDescent="0.25">
      <c r="C23" s="70"/>
      <c r="G23" s="73" t="s">
        <v>110</v>
      </c>
      <c r="H23" s="74"/>
      <c r="I23" s="84" t="str">
        <f>IF(AND(B24=1,K6&lt;=900),CONCATENATE(2," шт."),IF(AND(B24=1,K6&lt;=1500),CONCATENATE(3," шт."),IF(AND(B24=1,K6&lt;=2000),CONCATENATE(4," шт."),IF(AND(B24=1,K6&lt;=2700),CONCATENATE(5," шт."),""))))</f>
        <v>2 шт.</v>
      </c>
      <c r="J23" s="71"/>
      <c r="L23" s="70"/>
      <c r="Q23" s="75" t="s">
        <v>108</v>
      </c>
      <c r="S23" s="61" t="str">
        <f>IF(AND(U23=1,K6&lt;=900),CONCATENATE(2," шт."),IF(AND(U23=1,K6&lt;=1500),CONCATENATE(3," шт."),IF(AND(U23=1,K6&lt;=2000),CONCATENATE(4," шт."),IF(AND(U23=1,K6&lt;=2700),CONCATENATE(5," шт."),""))))</f>
        <v/>
      </c>
      <c r="U23" s="69">
        <v>2</v>
      </c>
    </row>
    <row r="24" spans="2:25" s="69" customFormat="1" ht="26.45" customHeight="1" x14ac:dyDescent="0.25">
      <c r="B24" s="69">
        <v>1</v>
      </c>
      <c r="C24" s="70"/>
      <c r="G24" s="73" t="s">
        <v>107</v>
      </c>
      <c r="H24" s="74"/>
      <c r="J24" s="71"/>
      <c r="L24" s="70"/>
      <c r="Q24" s="75" t="s">
        <v>109</v>
      </c>
      <c r="S24" s="71"/>
      <c r="Y24"/>
    </row>
    <row r="25" spans="2:25" s="69" customFormat="1" ht="12.6" customHeight="1" thickBot="1" x14ac:dyDescent="0.3">
      <c r="C25" s="76"/>
      <c r="D25" s="72"/>
      <c r="E25" s="72"/>
      <c r="F25" s="72"/>
      <c r="G25" s="72"/>
      <c r="H25" s="72"/>
      <c r="I25" s="72"/>
      <c r="J25" s="77"/>
      <c r="L25" s="76"/>
      <c r="M25" s="72"/>
      <c r="N25" s="72"/>
      <c r="O25" s="72"/>
      <c r="P25" s="62" t="str">
        <f>IF(AND(B24=2,U23=1),"Добавьте присадки!","")</f>
        <v/>
      </c>
      <c r="Q25" s="53"/>
      <c r="R25" s="53"/>
      <c r="S25" s="77"/>
    </row>
    <row r="26" spans="2:25" ht="24.6" customHeight="1" thickBot="1" x14ac:dyDescent="0.3"/>
    <row r="27" spans="2:25" s="55" customFormat="1" ht="34.15" customHeight="1" thickBot="1" x14ac:dyDescent="0.3">
      <c r="C27" s="119" t="s">
        <v>58</v>
      </c>
      <c r="D27" s="120"/>
      <c r="E27" s="116"/>
      <c r="F27" s="115" t="s">
        <v>0</v>
      </c>
      <c r="G27" s="120"/>
      <c r="H27" s="120"/>
      <c r="I27" s="120"/>
      <c r="J27" s="120"/>
      <c r="K27" s="120"/>
      <c r="L27" s="120"/>
      <c r="M27" s="120"/>
      <c r="N27" s="120"/>
      <c r="O27" s="116"/>
      <c r="P27" s="115" t="s">
        <v>98</v>
      </c>
      <c r="Q27" s="116"/>
      <c r="R27" s="117" t="s">
        <v>99</v>
      </c>
      <c r="S27" s="118"/>
    </row>
    <row r="28" spans="2:25" ht="23.45" customHeight="1" x14ac:dyDescent="0.25">
      <c r="C28" s="121" t="str">
        <f>CONCATENATE(K6,".",K7,U17,"-",цены!F66,IF(U23=1,"F",""))</f>
        <v>.A-2</v>
      </c>
      <c r="D28" s="122"/>
      <c r="E28" s="123"/>
      <c r="F28" s="127" t="str">
        <f>CONCATENATE("Фасад ESTET в разборе с узким горизонтальным профилем без стекла ",K6,"х",K7,", ",U16," ",U21,IF(B24=1,CONCATENATE(" (",I23,")"),""),CU2," ",U22,IF(U23=1,CONCATENATE(" (",S23,")"),""))</f>
        <v>Фасад ESTET в разборе с узким горизонтальным профилем без стекла х, антрацит с присадками (2 шт.) без петель</v>
      </c>
      <c r="G28" s="128"/>
      <c r="H28" s="128"/>
      <c r="I28" s="128"/>
      <c r="J28" s="128"/>
      <c r="K28" s="128"/>
      <c r="L28" s="128"/>
      <c r="M28" s="128"/>
      <c r="N28" s="128"/>
      <c r="O28" s="129"/>
      <c r="P28" s="133">
        <f>цены!G70</f>
        <v>5458.2000000000007</v>
      </c>
      <c r="Q28" s="134"/>
      <c r="R28" s="137"/>
      <c r="S28" s="138"/>
    </row>
    <row r="29" spans="2:25" ht="23.45" customHeight="1" thickBot="1" x14ac:dyDescent="0.3">
      <c r="C29" s="124"/>
      <c r="D29" s="125"/>
      <c r="E29" s="126"/>
      <c r="F29" s="130"/>
      <c r="G29" s="131"/>
      <c r="H29" s="131"/>
      <c r="I29" s="131"/>
      <c r="J29" s="131"/>
      <c r="K29" s="131"/>
      <c r="L29" s="131"/>
      <c r="M29" s="131"/>
      <c r="N29" s="131"/>
      <c r="O29" s="132"/>
      <c r="P29" s="135"/>
      <c r="Q29" s="136"/>
      <c r="R29" s="139">
        <f>P28*(100%-R28)</f>
        <v>5458.2000000000007</v>
      </c>
      <c r="S29" s="140"/>
    </row>
    <row r="30" spans="2:25" x14ac:dyDescent="0.25">
      <c r="C30" s="55"/>
      <c r="D30" s="55"/>
      <c r="E30" s="55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4"/>
      <c r="Q30" s="64"/>
      <c r="R30" s="65"/>
      <c r="S30" s="65"/>
    </row>
    <row r="31" spans="2:25" x14ac:dyDescent="0.25">
      <c r="C31" s="66" t="s">
        <v>112</v>
      </c>
    </row>
    <row r="32" spans="2:25" x14ac:dyDescent="0.25">
      <c r="C32" s="145" t="s">
        <v>113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</row>
    <row r="33" spans="3:19" ht="16.5" thickBot="1" x14ac:dyDescent="0.3"/>
    <row r="34" spans="3:19" ht="26.45" customHeight="1" thickBot="1" x14ac:dyDescent="0.3">
      <c r="C34" s="119" t="s">
        <v>57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44"/>
    </row>
    <row r="35" spans="3:19" ht="21" customHeight="1" x14ac:dyDescent="0.25">
      <c r="C35" s="103" t="s">
        <v>105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5"/>
      <c r="Q35" s="109" t="str">
        <f>CONCATENATE(цены!H70," кг")</f>
        <v>0,01 кг</v>
      </c>
      <c r="R35" s="110"/>
      <c r="S35" s="111"/>
    </row>
    <row r="36" spans="3:19" ht="21" customHeight="1" thickBot="1" x14ac:dyDescent="0.3">
      <c r="C36" s="106" t="s">
        <v>111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8"/>
      <c r="Q36" s="112" t="str">
        <f>CONCATENATE(цены!C68,"х",цены!C69," мм")</f>
        <v>-12,5х-88 мм</v>
      </c>
      <c r="R36" s="113"/>
      <c r="S36" s="114"/>
    </row>
  </sheetData>
  <sheetProtection algorithmName="SHA-512" hashValue="4pM9OHo3crthb6MevT/HPXuWECAcRs4xdCwlZBTMNQnE8guzqCVtYA/p9jDChEeRKVLxbYpSGMqFWYkeO9ZkLw==" saltValue="xnzbg50DfoIVKzAHzyQH3w==" spinCount="100000" sheet="1" objects="1" scenarios="1"/>
  <mergeCells count="26">
    <mergeCell ref="C21:J21"/>
    <mergeCell ref="O4:S4"/>
    <mergeCell ref="C34:S34"/>
    <mergeCell ref="C32:N32"/>
    <mergeCell ref="G4:M4"/>
    <mergeCell ref="G8:M8"/>
    <mergeCell ref="G9:M9"/>
    <mergeCell ref="G10:M10"/>
    <mergeCell ref="G11:M11"/>
    <mergeCell ref="L21:S21"/>
    <mergeCell ref="C2:S2"/>
    <mergeCell ref="C13:S13"/>
    <mergeCell ref="C35:P35"/>
    <mergeCell ref="C36:P36"/>
    <mergeCell ref="Q35:S35"/>
    <mergeCell ref="Q36:S36"/>
    <mergeCell ref="P27:Q27"/>
    <mergeCell ref="R27:S27"/>
    <mergeCell ref="C27:E27"/>
    <mergeCell ref="F27:O27"/>
    <mergeCell ref="C28:E29"/>
    <mergeCell ref="F28:O29"/>
    <mergeCell ref="P28:Q29"/>
    <mergeCell ref="R28:S28"/>
    <mergeCell ref="R29:S29"/>
    <mergeCell ref="C9:E10"/>
  </mergeCells>
  <conditionalFormatting sqref="C17">
    <cfRule type="expression" dxfId="13" priority="12">
      <formula>$B$16=C18</formula>
    </cfRule>
  </conditionalFormatting>
  <conditionalFormatting sqref="E17">
    <cfRule type="expression" dxfId="12" priority="11">
      <formula>$B$16=E18</formula>
    </cfRule>
  </conditionalFormatting>
  <conditionalFormatting sqref="F23:H23">
    <cfRule type="expression" dxfId="11" priority="4">
      <formula>$B$24=1</formula>
    </cfRule>
  </conditionalFormatting>
  <conditionalFormatting sqref="F24:H24">
    <cfRule type="expression" dxfId="10" priority="3">
      <formula>$B$24=2</formula>
    </cfRule>
  </conditionalFormatting>
  <conditionalFormatting sqref="G17">
    <cfRule type="expression" dxfId="9" priority="10">
      <formula>$B$16=G18</formula>
    </cfRule>
  </conditionalFormatting>
  <conditionalFormatting sqref="I17">
    <cfRule type="expression" dxfId="8" priority="9">
      <formula>$B$16=I18</formula>
    </cfRule>
  </conditionalFormatting>
  <conditionalFormatting sqref="K17:M17">
    <cfRule type="expression" dxfId="7" priority="8">
      <formula>$B$16=K18</formula>
    </cfRule>
  </conditionalFormatting>
  <conditionalFormatting sqref="O17">
    <cfRule type="expression" dxfId="6" priority="7">
      <formula>$B$16=O18</formula>
    </cfRule>
  </conditionalFormatting>
  <conditionalFormatting sqref="P23:R23">
    <cfRule type="expression" dxfId="5" priority="2">
      <formula>$U$23=1</formula>
    </cfRule>
  </conditionalFormatting>
  <conditionalFormatting sqref="P24:R24">
    <cfRule type="expression" dxfId="4" priority="1">
      <formula>$U$23=2</formula>
    </cfRule>
  </conditionalFormatting>
  <conditionalFormatting sqref="Q17">
    <cfRule type="expression" dxfId="3" priority="6">
      <formula>$B$16=Q18</formula>
    </cfRule>
  </conditionalFormatting>
  <conditionalFormatting sqref="S17">
    <cfRule type="expression" dxfId="2" priority="5">
      <formula>$B$16=S18</formula>
    </cfRule>
  </conditionalFormatting>
  <dataValidations count="2">
    <dataValidation type="decimal" operator="lessThanOrEqual" allowBlank="1" showInputMessage="1" showErrorMessage="1" sqref="K7:M7" xr:uid="{00000000-0002-0000-0000-000000000000}">
      <formula1>650</formula1>
    </dataValidation>
    <dataValidation type="decimal" operator="lessThanOrEqual" allowBlank="1" showInputMessage="1" showErrorMessage="1" sqref="K6:M6" xr:uid="{00000000-0002-0000-0000-000001000000}">
      <formula1>2700</formula1>
    </dataValidation>
  </dataValidations>
  <hyperlinks>
    <hyperlink ref="C9:E10" r:id="rId1" display="https://www.schock.ru/upload/iblock/c0a/yvmza35ge5zfduezj4e27cf80wgzyxin/ALUMOVE_ESTET_Colors.pdf" xr:uid="{00000000-0004-0000-0000-000000000000}"/>
    <hyperlink ref="C32:N32" r:id="rId2" display="скачать форму заказа" xr:uid="{00000000-0004-0000-0000-000001000000}"/>
  </hyperlinks>
  <pageMargins left="0.7" right="0.7" top="0.75" bottom="0.75" header="0.3" footer="0.3"/>
  <pageSetup paperSize="9" orientation="portrait" horizontalDpi="1200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7" r:id="rId6" name="Group Box 19">
              <controlPr defaultSize="0" autoFill="0" autoPict="0">
                <anchor moveWithCells="1">
                  <from>
                    <xdr:col>1</xdr:col>
                    <xdr:colOff>666750</xdr:colOff>
                    <xdr:row>12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Option Button 20">
              <controlPr defaultSize="0" autoFill="0" autoLine="0" autoPict="0">
                <anchor moveWithCells="1">
                  <from>
                    <xdr:col>2</xdr:col>
                    <xdr:colOff>219075</xdr:colOff>
                    <xdr:row>15</xdr:row>
                    <xdr:rowOff>38100</xdr:rowOff>
                  </from>
                  <to>
                    <xdr:col>2</xdr:col>
                    <xdr:colOff>514350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Option Button 21">
              <controlPr defaultSize="0" autoFill="0" autoLine="0" autoPict="0">
                <anchor moveWithCells="1">
                  <from>
                    <xdr:col>4</xdr:col>
                    <xdr:colOff>219075</xdr:colOff>
                    <xdr:row>15</xdr:row>
                    <xdr:rowOff>38100</xdr:rowOff>
                  </from>
                  <to>
                    <xdr:col>4</xdr:col>
                    <xdr:colOff>514350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Option Button 22">
              <controlPr defaultSize="0" autoFill="0" autoLine="0" autoPict="0">
                <anchor moveWithCells="1">
                  <from>
                    <xdr:col>6</xdr:col>
                    <xdr:colOff>219075</xdr:colOff>
                    <xdr:row>15</xdr:row>
                    <xdr:rowOff>38100</xdr:rowOff>
                  </from>
                  <to>
                    <xdr:col>6</xdr:col>
                    <xdr:colOff>514350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Option Button 23">
              <controlPr defaultSize="0" autoFill="0" autoLine="0" autoPict="0">
                <anchor moveWithCells="1">
                  <from>
                    <xdr:col>8</xdr:col>
                    <xdr:colOff>219075</xdr:colOff>
                    <xdr:row>15</xdr:row>
                    <xdr:rowOff>38100</xdr:rowOff>
                  </from>
                  <to>
                    <xdr:col>8</xdr:col>
                    <xdr:colOff>514350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Option Button 24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38100</xdr:rowOff>
                  </from>
                  <to>
                    <xdr:col>10</xdr:col>
                    <xdr:colOff>514350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Option Button 25">
              <controlPr defaultSize="0" autoFill="0" autoLine="0" autoPict="0">
                <anchor moveWithCells="1">
                  <from>
                    <xdr:col>14</xdr:col>
                    <xdr:colOff>219075</xdr:colOff>
                    <xdr:row>15</xdr:row>
                    <xdr:rowOff>38100</xdr:rowOff>
                  </from>
                  <to>
                    <xdr:col>14</xdr:col>
                    <xdr:colOff>514350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Option Button 26">
              <controlPr defaultSize="0" autoFill="0" autoLine="0" autoPict="0">
                <anchor moveWithCells="1">
                  <from>
                    <xdr:col>16</xdr:col>
                    <xdr:colOff>219075</xdr:colOff>
                    <xdr:row>15</xdr:row>
                    <xdr:rowOff>38100</xdr:rowOff>
                  </from>
                  <to>
                    <xdr:col>16</xdr:col>
                    <xdr:colOff>514350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Option Button 27">
              <controlPr defaultSize="0" autoFill="0" autoLine="0" autoPict="0">
                <anchor moveWithCells="1">
                  <from>
                    <xdr:col>18</xdr:col>
                    <xdr:colOff>219075</xdr:colOff>
                    <xdr:row>15</xdr:row>
                    <xdr:rowOff>38100</xdr:rowOff>
                  </from>
                  <to>
                    <xdr:col>18</xdr:col>
                    <xdr:colOff>514350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5" name="Group Box 34">
              <controlPr defaultSize="0" autoFill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6" name="Group Box 35">
              <controlPr defaultSize="0" autoFill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7" name="Option Button 41">
              <controlPr defaultSize="0" autoFill="0" autoLine="0" autoPict="0">
                <anchor moveWithCells="1">
                  <from>
                    <xdr:col>4</xdr:col>
                    <xdr:colOff>742950</xdr:colOff>
                    <xdr:row>22</xdr:row>
                    <xdr:rowOff>47625</xdr:rowOff>
                  </from>
                  <to>
                    <xdr:col>7</xdr:col>
                    <xdr:colOff>161925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8" name="Option Button 44">
              <controlPr defaultSize="0" autoFill="0" autoLine="0" autoPict="0">
                <anchor moveWithCells="1">
                  <from>
                    <xdr:col>14</xdr:col>
                    <xdr:colOff>742950</xdr:colOff>
                    <xdr:row>22</xdr:row>
                    <xdr:rowOff>38100</xdr:rowOff>
                  </from>
                  <to>
                    <xdr:col>18</xdr:col>
                    <xdr:colOff>85725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9" name="Option Button 46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47625</xdr:rowOff>
                  </from>
                  <to>
                    <xdr:col>7</xdr:col>
                    <xdr:colOff>161925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0" name="Option Button 47">
              <controlPr defaultSize="0" autoFill="0" autoLine="0" autoPict="0">
                <anchor moveWithCells="1">
                  <from>
                    <xdr:col>14</xdr:col>
                    <xdr:colOff>742950</xdr:colOff>
                    <xdr:row>23</xdr:row>
                    <xdr:rowOff>38100</xdr:rowOff>
                  </from>
                  <to>
                    <xdr:col>18</xdr:col>
                    <xdr:colOff>85725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1" name="Option Button 48">
              <controlPr defaultSize="0" autoFill="0" autoLine="0" autoPict="0">
                <anchor moveWithCells="1">
                  <from>
                    <xdr:col>12</xdr:col>
                    <xdr:colOff>219075</xdr:colOff>
                    <xdr:row>15</xdr:row>
                    <xdr:rowOff>38100</xdr:rowOff>
                  </from>
                  <to>
                    <xdr:col>12</xdr:col>
                    <xdr:colOff>514350</xdr:colOff>
                    <xdr:row>15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71"/>
  <sheetViews>
    <sheetView topLeftCell="A72" workbookViewId="0">
      <selection activeCell="A71" sqref="A2:XFD71"/>
    </sheetView>
  </sheetViews>
  <sheetFormatPr defaultRowHeight="15.75" x14ac:dyDescent="0.25"/>
  <cols>
    <col min="1" max="1" width="16.875" style="7" customWidth="1"/>
    <col min="2" max="2" width="52" style="7" bestFit="1" customWidth="1"/>
    <col min="3" max="3" width="16.5" style="7" bestFit="1" customWidth="1"/>
    <col min="4" max="4" width="8.75" style="10"/>
    <col min="5" max="5" width="3.125" style="14" customWidth="1"/>
    <col min="6" max="6" width="5.375" style="26" customWidth="1"/>
    <col min="7" max="7" width="13" style="27" customWidth="1"/>
    <col min="8" max="8" width="10.625" style="26" customWidth="1"/>
  </cols>
  <sheetData>
    <row r="1" spans="1:8" x14ac:dyDescent="0.25">
      <c r="G1" s="27" t="s">
        <v>83</v>
      </c>
      <c r="H1" s="26" t="s">
        <v>87</v>
      </c>
    </row>
    <row r="2" spans="1:8" hidden="1" x14ac:dyDescent="0.25">
      <c r="A2" s="11" t="s">
        <v>24</v>
      </c>
      <c r="B2" s="8" t="s">
        <v>68</v>
      </c>
      <c r="C2" s="5" t="s">
        <v>62</v>
      </c>
      <c r="D2" s="16">
        <v>1400</v>
      </c>
      <c r="E2" s="19">
        <v>5</v>
      </c>
      <c r="F2" s="28">
        <f>IF(AND(ESTET!$K$7=296,ESTET!$B$16=E2),2,0)</f>
        <v>0</v>
      </c>
      <c r="G2" s="29">
        <f>D2*F2</f>
        <v>0</v>
      </c>
      <c r="H2" s="30">
        <f>0.22/1000*ESTET!$K$7*цены!F2</f>
        <v>0</v>
      </c>
    </row>
    <row r="3" spans="1:8" hidden="1" x14ac:dyDescent="0.25">
      <c r="A3" s="12" t="s">
        <v>27</v>
      </c>
      <c r="B3" s="3" t="s">
        <v>68</v>
      </c>
      <c r="C3" s="4" t="s">
        <v>7</v>
      </c>
      <c r="D3" s="15">
        <v>1400</v>
      </c>
      <c r="E3" s="24">
        <v>6</v>
      </c>
      <c r="F3" s="31">
        <f>IF(AND(ESTET!$K$7=296,ESTET!$B$16=E3),2,0)</f>
        <v>0</v>
      </c>
      <c r="G3" s="32">
        <f t="shared" ref="G3:G46" si="0">D3*F3</f>
        <v>0</v>
      </c>
      <c r="H3" s="33">
        <f>0.22/1000*ESTET!$K$7*цены!F3</f>
        <v>0</v>
      </c>
    </row>
    <row r="4" spans="1:8" hidden="1" x14ac:dyDescent="0.25">
      <c r="A4" s="12" t="s">
        <v>118</v>
      </c>
      <c r="B4" s="3" t="s">
        <v>68</v>
      </c>
      <c r="C4" s="4" t="s">
        <v>114</v>
      </c>
      <c r="D4" s="15">
        <v>1400</v>
      </c>
      <c r="E4" s="24">
        <v>9</v>
      </c>
      <c r="F4" s="31">
        <f>IF(AND(ESTET!$K$7=296,ESTET!$B$16=E4),2,0)</f>
        <v>0</v>
      </c>
      <c r="G4" s="32">
        <f t="shared" ref="G4" si="1">D4*F4</f>
        <v>0</v>
      </c>
      <c r="H4" s="33">
        <f>0.22/1000*ESTET!$K$7*цены!F4</f>
        <v>0</v>
      </c>
    </row>
    <row r="5" spans="1:8" hidden="1" x14ac:dyDescent="0.25">
      <c r="A5" s="12" t="s">
        <v>26</v>
      </c>
      <c r="B5" s="3" t="s">
        <v>68</v>
      </c>
      <c r="C5" s="4" t="s">
        <v>6</v>
      </c>
      <c r="D5" s="15">
        <v>1400</v>
      </c>
      <c r="E5" s="24">
        <v>7</v>
      </c>
      <c r="F5" s="31">
        <f>IF(AND(ESTET!$K$7=296,ESTET!$B$16=E5),2,0)</f>
        <v>0</v>
      </c>
      <c r="G5" s="32">
        <f t="shared" si="0"/>
        <v>0</v>
      </c>
      <c r="H5" s="33">
        <f>0.22/1000*ESTET!$K$7*цены!F5</f>
        <v>0</v>
      </c>
    </row>
    <row r="6" spans="1:8" hidden="1" x14ac:dyDescent="0.25">
      <c r="A6" s="12" t="s">
        <v>25</v>
      </c>
      <c r="B6" s="3" t="s">
        <v>68</v>
      </c>
      <c r="C6" s="4" t="s">
        <v>5</v>
      </c>
      <c r="D6" s="15">
        <v>1400</v>
      </c>
      <c r="E6" s="24">
        <v>8</v>
      </c>
      <c r="F6" s="31">
        <f>IF(AND(ESTET!$K$7=296,ESTET!$B$16=E6),2,0)</f>
        <v>0</v>
      </c>
      <c r="G6" s="32">
        <f t="shared" si="0"/>
        <v>0</v>
      </c>
      <c r="H6" s="33">
        <f>0.22/1000*ESTET!$K$7*цены!F6</f>
        <v>0</v>
      </c>
    </row>
    <row r="7" spans="1:8" hidden="1" x14ac:dyDescent="0.25">
      <c r="A7" s="12" t="s">
        <v>23</v>
      </c>
      <c r="B7" s="3" t="s">
        <v>68</v>
      </c>
      <c r="C7" s="4" t="s">
        <v>66</v>
      </c>
      <c r="D7" s="15">
        <v>1050</v>
      </c>
      <c r="E7" s="24">
        <v>3</v>
      </c>
      <c r="F7" s="31">
        <f>IF(AND(ESTET!$K$7=296,ESTET!$B$16=E7),2,0)</f>
        <v>0</v>
      </c>
      <c r="G7" s="32">
        <f t="shared" si="0"/>
        <v>0</v>
      </c>
      <c r="H7" s="33">
        <f>0.22/1000*ESTET!$K$7*цены!F7</f>
        <v>0</v>
      </c>
    </row>
    <row r="8" spans="1:8" hidden="1" x14ac:dyDescent="0.25">
      <c r="A8" s="12" t="s">
        <v>21</v>
      </c>
      <c r="B8" s="3" t="s">
        <v>68</v>
      </c>
      <c r="C8" s="4" t="s">
        <v>2</v>
      </c>
      <c r="D8" s="15">
        <v>1050</v>
      </c>
      <c r="E8" s="24">
        <v>2</v>
      </c>
      <c r="F8" s="31">
        <f>IF(AND(ESTET!$K$7=296,ESTET!$B$16=E8),2,0)</f>
        <v>0</v>
      </c>
      <c r="G8" s="32">
        <f t="shared" si="0"/>
        <v>0</v>
      </c>
      <c r="H8" s="33">
        <f>0.22/1000*ESTET!$K$7*цены!F8</f>
        <v>0</v>
      </c>
    </row>
    <row r="9" spans="1:8" hidden="1" x14ac:dyDescent="0.25">
      <c r="A9" s="12" t="s">
        <v>22</v>
      </c>
      <c r="B9" s="3" t="s">
        <v>68</v>
      </c>
      <c r="C9" s="4" t="s">
        <v>3</v>
      </c>
      <c r="D9" s="15">
        <v>1050</v>
      </c>
      <c r="E9" s="24">
        <v>4</v>
      </c>
      <c r="F9" s="31">
        <f>IF(AND(ESTET!$K$7=296,ESTET!$B$16=E9),2,0)</f>
        <v>0</v>
      </c>
      <c r="G9" s="32">
        <f t="shared" si="0"/>
        <v>0</v>
      </c>
      <c r="H9" s="33">
        <f>0.22/1000*ESTET!$K$7*цены!F9</f>
        <v>0</v>
      </c>
    </row>
    <row r="10" spans="1:8" ht="16.5" hidden="1" thickBot="1" x14ac:dyDescent="0.3">
      <c r="A10" s="13" t="s">
        <v>67</v>
      </c>
      <c r="B10" s="9" t="s">
        <v>68</v>
      </c>
      <c r="C10" s="6" t="s">
        <v>61</v>
      </c>
      <c r="D10" s="18">
        <v>840</v>
      </c>
      <c r="E10" s="20">
        <v>1</v>
      </c>
      <c r="F10" s="34">
        <f>IF(AND(ESTET!$K$7=296,ESTET!$B$16=E10),2,0)</f>
        <v>0</v>
      </c>
      <c r="G10" s="35">
        <f t="shared" si="0"/>
        <v>0</v>
      </c>
      <c r="H10" s="36">
        <f>0.22/1000*ESTET!$K$7*цены!F10</f>
        <v>0</v>
      </c>
    </row>
    <row r="11" spans="1:8" hidden="1" x14ac:dyDescent="0.25">
      <c r="A11" s="11" t="s">
        <v>31</v>
      </c>
      <c r="B11" s="8" t="s">
        <v>69</v>
      </c>
      <c r="C11" s="5" t="s">
        <v>62</v>
      </c>
      <c r="D11" s="16">
        <v>1550</v>
      </c>
      <c r="E11" s="19">
        <v>5</v>
      </c>
      <c r="F11" s="28">
        <f>IF(AND(ESTET!$K$7=446,ESTET!$B$16=E11),2,0)</f>
        <v>0</v>
      </c>
      <c r="G11" s="29">
        <f t="shared" si="0"/>
        <v>0</v>
      </c>
      <c r="H11" s="30">
        <f>0.22/1000*ESTET!$K$7*цены!F11</f>
        <v>0</v>
      </c>
    </row>
    <row r="12" spans="1:8" hidden="1" x14ac:dyDescent="0.25">
      <c r="A12" s="12" t="s">
        <v>34</v>
      </c>
      <c r="B12" s="3" t="s">
        <v>69</v>
      </c>
      <c r="C12" s="4" t="s">
        <v>7</v>
      </c>
      <c r="D12" s="15">
        <v>1550</v>
      </c>
      <c r="E12" s="24">
        <v>6</v>
      </c>
      <c r="F12" s="31">
        <f>IF(AND(ESTET!$K$7=446,ESTET!$B$16=E12),2,0)</f>
        <v>0</v>
      </c>
      <c r="G12" s="32">
        <f t="shared" si="0"/>
        <v>0</v>
      </c>
      <c r="H12" s="33">
        <f>0.22/1000*ESTET!$K$7*цены!F12</f>
        <v>0</v>
      </c>
    </row>
    <row r="13" spans="1:8" hidden="1" x14ac:dyDescent="0.25">
      <c r="A13" s="12" t="s">
        <v>119</v>
      </c>
      <c r="B13" s="3" t="s">
        <v>69</v>
      </c>
      <c r="C13" s="4" t="s">
        <v>114</v>
      </c>
      <c r="D13" s="15">
        <v>1550</v>
      </c>
      <c r="E13" s="24">
        <v>9</v>
      </c>
      <c r="F13" s="31">
        <f>IF(AND(ESTET!$K$7=446,ESTET!$B$16=E13),2,0)</f>
        <v>0</v>
      </c>
      <c r="G13" s="32">
        <f t="shared" ref="G13" si="2">D13*F13</f>
        <v>0</v>
      </c>
      <c r="H13" s="33">
        <f>0.22/1000*ESTET!$K$7*цены!F13</f>
        <v>0</v>
      </c>
    </row>
    <row r="14" spans="1:8" hidden="1" x14ac:dyDescent="0.25">
      <c r="A14" s="12" t="s">
        <v>33</v>
      </c>
      <c r="B14" s="3" t="s">
        <v>69</v>
      </c>
      <c r="C14" s="4" t="s">
        <v>6</v>
      </c>
      <c r="D14" s="15">
        <v>1550</v>
      </c>
      <c r="E14" s="24">
        <v>7</v>
      </c>
      <c r="F14" s="31">
        <f>IF(AND(ESTET!$K$7=446,ESTET!$B$16=E14),2,0)</f>
        <v>0</v>
      </c>
      <c r="G14" s="32">
        <f t="shared" si="0"/>
        <v>0</v>
      </c>
      <c r="H14" s="33">
        <f>0.22/1000*ESTET!$K$7*цены!F14</f>
        <v>0</v>
      </c>
    </row>
    <row r="15" spans="1:8" hidden="1" x14ac:dyDescent="0.25">
      <c r="A15" s="12" t="s">
        <v>32</v>
      </c>
      <c r="B15" s="3" t="s">
        <v>69</v>
      </c>
      <c r="C15" s="4" t="s">
        <v>5</v>
      </c>
      <c r="D15" s="15">
        <v>1550</v>
      </c>
      <c r="E15" s="24">
        <v>8</v>
      </c>
      <c r="F15" s="31">
        <f>IF(AND(ESTET!$K$7=446,ESTET!$B$16=E15),2,0)</f>
        <v>0</v>
      </c>
      <c r="G15" s="32">
        <f t="shared" si="0"/>
        <v>0</v>
      </c>
      <c r="H15" s="33">
        <f>0.22/1000*ESTET!$K$7*цены!F15</f>
        <v>0</v>
      </c>
    </row>
    <row r="16" spans="1:8" hidden="1" x14ac:dyDescent="0.25">
      <c r="A16" s="12" t="s">
        <v>30</v>
      </c>
      <c r="B16" s="3" t="s">
        <v>69</v>
      </c>
      <c r="C16" s="4" t="s">
        <v>66</v>
      </c>
      <c r="D16" s="15">
        <v>1350</v>
      </c>
      <c r="E16" s="24">
        <v>3</v>
      </c>
      <c r="F16" s="31">
        <f>IF(AND(ESTET!$K$7=446,ESTET!$B$16=E16),2,0)</f>
        <v>0</v>
      </c>
      <c r="G16" s="32">
        <f t="shared" si="0"/>
        <v>0</v>
      </c>
      <c r="H16" s="33">
        <f>0.22/1000*ESTET!$K$7*цены!F16</f>
        <v>0</v>
      </c>
    </row>
    <row r="17" spans="1:8" hidden="1" x14ac:dyDescent="0.25">
      <c r="A17" s="12" t="s">
        <v>28</v>
      </c>
      <c r="B17" s="3" t="s">
        <v>69</v>
      </c>
      <c r="C17" s="4" t="s">
        <v>2</v>
      </c>
      <c r="D17" s="15">
        <v>1350</v>
      </c>
      <c r="E17" s="24">
        <v>2</v>
      </c>
      <c r="F17" s="31">
        <f>IF(AND(ESTET!$K$7=446,ESTET!$B$16=E17),2,0)</f>
        <v>0</v>
      </c>
      <c r="G17" s="32">
        <f t="shared" si="0"/>
        <v>0</v>
      </c>
      <c r="H17" s="33">
        <f>0.22/1000*ESTET!$K$7*цены!F17</f>
        <v>0</v>
      </c>
    </row>
    <row r="18" spans="1:8" hidden="1" x14ac:dyDescent="0.25">
      <c r="A18" s="12" t="s">
        <v>29</v>
      </c>
      <c r="B18" s="3" t="s">
        <v>69</v>
      </c>
      <c r="C18" s="4" t="s">
        <v>3</v>
      </c>
      <c r="D18" s="15">
        <v>1350</v>
      </c>
      <c r="E18" s="24">
        <v>4</v>
      </c>
      <c r="F18" s="31">
        <f>IF(AND(ESTET!$K$7=446,ESTET!$B$16=E18),2,0)</f>
        <v>0</v>
      </c>
      <c r="G18" s="32">
        <f t="shared" si="0"/>
        <v>0</v>
      </c>
      <c r="H18" s="33">
        <f>0.22/1000*ESTET!$K$7*цены!F18</f>
        <v>0</v>
      </c>
    </row>
    <row r="19" spans="1:8" ht="16.5" hidden="1" thickBot="1" x14ac:dyDescent="0.3">
      <c r="A19" s="13" t="s">
        <v>70</v>
      </c>
      <c r="B19" s="9" t="s">
        <v>69</v>
      </c>
      <c r="C19" s="6" t="s">
        <v>61</v>
      </c>
      <c r="D19" s="18">
        <v>1080</v>
      </c>
      <c r="E19" s="20">
        <v>1</v>
      </c>
      <c r="F19" s="34">
        <f>IF(AND(ESTET!$K$7=446,ESTET!$B$16=E19),2,0)</f>
        <v>0</v>
      </c>
      <c r="G19" s="35">
        <f t="shared" si="0"/>
        <v>0</v>
      </c>
      <c r="H19" s="36">
        <f>0.22/1000*ESTET!$K$7*цены!F19</f>
        <v>0</v>
      </c>
    </row>
    <row r="20" spans="1:8" hidden="1" x14ac:dyDescent="0.25">
      <c r="A20" s="11" t="s">
        <v>38</v>
      </c>
      <c r="B20" s="8" t="s">
        <v>71</v>
      </c>
      <c r="C20" s="5" t="s">
        <v>62</v>
      </c>
      <c r="D20" s="16">
        <v>1700</v>
      </c>
      <c r="E20" s="19">
        <v>5</v>
      </c>
      <c r="F20" s="28">
        <f>IF(AND(ESTET!$K$7=496,ESTET!$B$16=E20),2,0)</f>
        <v>0</v>
      </c>
      <c r="G20" s="29">
        <f t="shared" si="0"/>
        <v>0</v>
      </c>
      <c r="H20" s="30">
        <f>0.22/1000*ESTET!$K$7*цены!F20</f>
        <v>0</v>
      </c>
    </row>
    <row r="21" spans="1:8" hidden="1" x14ac:dyDescent="0.25">
      <c r="A21" s="12" t="s">
        <v>41</v>
      </c>
      <c r="B21" s="3" t="s">
        <v>71</v>
      </c>
      <c r="C21" s="4" t="s">
        <v>7</v>
      </c>
      <c r="D21" s="15">
        <v>1700</v>
      </c>
      <c r="E21" s="24">
        <v>6</v>
      </c>
      <c r="F21" s="31">
        <f>IF(AND(ESTET!$K$7=496,ESTET!$B$16=E21),2,0)</f>
        <v>0</v>
      </c>
      <c r="G21" s="32">
        <f t="shared" si="0"/>
        <v>0</v>
      </c>
      <c r="H21" s="33">
        <f>0.22/1000*ESTET!$K$7*цены!F21</f>
        <v>0</v>
      </c>
    </row>
    <row r="22" spans="1:8" hidden="1" x14ac:dyDescent="0.25">
      <c r="A22" s="12" t="s">
        <v>120</v>
      </c>
      <c r="B22" s="3" t="s">
        <v>71</v>
      </c>
      <c r="C22" s="4" t="s">
        <v>114</v>
      </c>
      <c r="D22" s="15">
        <v>1700</v>
      </c>
      <c r="E22" s="24">
        <v>9</v>
      </c>
      <c r="F22" s="31">
        <f>IF(AND(ESTET!$K$7=496,ESTET!$B$16=E22),2,0)</f>
        <v>0</v>
      </c>
      <c r="G22" s="32">
        <f t="shared" ref="G22" si="3">D22*F22</f>
        <v>0</v>
      </c>
      <c r="H22" s="33">
        <f>0.22/1000*ESTET!$K$7*цены!F22</f>
        <v>0</v>
      </c>
    </row>
    <row r="23" spans="1:8" hidden="1" x14ac:dyDescent="0.25">
      <c r="A23" s="12" t="s">
        <v>40</v>
      </c>
      <c r="B23" s="3" t="s">
        <v>71</v>
      </c>
      <c r="C23" s="4" t="s">
        <v>6</v>
      </c>
      <c r="D23" s="15">
        <v>1700</v>
      </c>
      <c r="E23" s="24">
        <v>7</v>
      </c>
      <c r="F23" s="31">
        <f>IF(AND(ESTET!$K$7=496,ESTET!$B$16=E23),2,0)</f>
        <v>0</v>
      </c>
      <c r="G23" s="32">
        <f t="shared" si="0"/>
        <v>0</v>
      </c>
      <c r="H23" s="33">
        <f>0.22/1000*ESTET!$K$7*цены!F23</f>
        <v>0</v>
      </c>
    </row>
    <row r="24" spans="1:8" hidden="1" x14ac:dyDescent="0.25">
      <c r="A24" s="12" t="s">
        <v>39</v>
      </c>
      <c r="B24" s="3" t="s">
        <v>71</v>
      </c>
      <c r="C24" s="4" t="s">
        <v>5</v>
      </c>
      <c r="D24" s="15">
        <v>1700</v>
      </c>
      <c r="E24" s="24">
        <v>8</v>
      </c>
      <c r="F24" s="31">
        <f>IF(AND(ESTET!$K$7=496,ESTET!$B$16=E24),2,0)</f>
        <v>0</v>
      </c>
      <c r="G24" s="32">
        <f t="shared" si="0"/>
        <v>0</v>
      </c>
      <c r="H24" s="33">
        <f>0.22/1000*ESTET!$K$7*цены!F24</f>
        <v>0</v>
      </c>
    </row>
    <row r="25" spans="1:8" hidden="1" x14ac:dyDescent="0.25">
      <c r="A25" s="12" t="s">
        <v>37</v>
      </c>
      <c r="B25" s="3" t="s">
        <v>71</v>
      </c>
      <c r="C25" s="4" t="s">
        <v>66</v>
      </c>
      <c r="D25" s="15">
        <v>1480</v>
      </c>
      <c r="E25" s="24">
        <v>3</v>
      </c>
      <c r="F25" s="31">
        <f>IF(AND(ESTET!$K$7=496,ESTET!$B$16=E25),2,0)</f>
        <v>0</v>
      </c>
      <c r="G25" s="32">
        <f t="shared" si="0"/>
        <v>0</v>
      </c>
      <c r="H25" s="33">
        <f>0.22/1000*ESTET!$K$7*цены!F25</f>
        <v>0</v>
      </c>
    </row>
    <row r="26" spans="1:8" hidden="1" x14ac:dyDescent="0.25">
      <c r="A26" s="12" t="s">
        <v>35</v>
      </c>
      <c r="B26" s="3" t="s">
        <v>71</v>
      </c>
      <c r="C26" s="4" t="s">
        <v>2</v>
      </c>
      <c r="D26" s="15">
        <v>1480</v>
      </c>
      <c r="E26" s="24">
        <v>2</v>
      </c>
      <c r="F26" s="31">
        <f>IF(AND(ESTET!$K$7=496,ESTET!$B$16=E26),2,0)</f>
        <v>0</v>
      </c>
      <c r="G26" s="32">
        <f t="shared" si="0"/>
        <v>0</v>
      </c>
      <c r="H26" s="33">
        <f>0.22/1000*ESTET!$K$7*цены!F26</f>
        <v>0</v>
      </c>
    </row>
    <row r="27" spans="1:8" hidden="1" x14ac:dyDescent="0.25">
      <c r="A27" s="12" t="s">
        <v>36</v>
      </c>
      <c r="B27" s="3" t="s">
        <v>71</v>
      </c>
      <c r="C27" s="4" t="s">
        <v>3</v>
      </c>
      <c r="D27" s="15">
        <v>1480</v>
      </c>
      <c r="E27" s="24">
        <v>4</v>
      </c>
      <c r="F27" s="31">
        <f>IF(AND(ESTET!$K$7=496,ESTET!$B$16=E27),2,0)</f>
        <v>0</v>
      </c>
      <c r="G27" s="32">
        <f t="shared" si="0"/>
        <v>0</v>
      </c>
      <c r="H27" s="33">
        <f>0.22/1000*ESTET!$K$7*цены!F27</f>
        <v>0</v>
      </c>
    </row>
    <row r="28" spans="1:8" ht="16.5" hidden="1" thickBot="1" x14ac:dyDescent="0.3">
      <c r="A28" s="13" t="s">
        <v>72</v>
      </c>
      <c r="B28" s="9" t="s">
        <v>71</v>
      </c>
      <c r="C28" s="6" t="s">
        <v>61</v>
      </c>
      <c r="D28" s="18">
        <v>1190</v>
      </c>
      <c r="E28" s="20">
        <v>1</v>
      </c>
      <c r="F28" s="34">
        <f>IF(AND(ESTET!$K$7=496,ESTET!$B$16=E28),2,0)</f>
        <v>0</v>
      </c>
      <c r="G28" s="35">
        <f t="shared" si="0"/>
        <v>0</v>
      </c>
      <c r="H28" s="36">
        <f>0.22/1000*ESTET!$K$7*цены!F28</f>
        <v>0</v>
      </c>
    </row>
    <row r="29" spans="1:8" hidden="1" x14ac:dyDescent="0.25">
      <c r="A29" s="11" t="s">
        <v>45</v>
      </c>
      <c r="B29" s="8" t="s">
        <v>73</v>
      </c>
      <c r="C29" s="5" t="s">
        <v>62</v>
      </c>
      <c r="D29" s="16">
        <v>1850</v>
      </c>
      <c r="E29" s="19">
        <v>5</v>
      </c>
      <c r="F29" s="28">
        <f>IF(AND(ESTET!$K$7=596,ESTET!$B$16=E29),2,0)</f>
        <v>0</v>
      </c>
      <c r="G29" s="29">
        <f t="shared" si="0"/>
        <v>0</v>
      </c>
      <c r="H29" s="30">
        <f>0.22/1000*ESTET!$K$7*цены!F29</f>
        <v>0</v>
      </c>
    </row>
    <row r="30" spans="1:8" hidden="1" x14ac:dyDescent="0.25">
      <c r="A30" s="12" t="s">
        <v>48</v>
      </c>
      <c r="B30" s="3" t="s">
        <v>73</v>
      </c>
      <c r="C30" s="4" t="s">
        <v>7</v>
      </c>
      <c r="D30" s="15">
        <v>1850</v>
      </c>
      <c r="E30" s="24">
        <v>6</v>
      </c>
      <c r="F30" s="31">
        <f>IF(AND(ESTET!$K$7=596,ESTET!$B$16=E30),2,0)</f>
        <v>0</v>
      </c>
      <c r="G30" s="32">
        <f t="shared" si="0"/>
        <v>0</v>
      </c>
      <c r="H30" s="33">
        <f>0.22/1000*ESTET!$K$7*цены!F30</f>
        <v>0</v>
      </c>
    </row>
    <row r="31" spans="1:8" hidden="1" x14ac:dyDescent="0.25">
      <c r="A31" s="12" t="s">
        <v>121</v>
      </c>
      <c r="B31" s="3" t="s">
        <v>73</v>
      </c>
      <c r="C31" s="4" t="s">
        <v>114</v>
      </c>
      <c r="D31" s="15">
        <v>1850</v>
      </c>
      <c r="E31" s="24">
        <v>9</v>
      </c>
      <c r="F31" s="31">
        <f>IF(AND(ESTET!$K$7=596,ESTET!$B$16=E31),2,0)</f>
        <v>0</v>
      </c>
      <c r="G31" s="32">
        <f t="shared" ref="G31" si="4">D31*F31</f>
        <v>0</v>
      </c>
      <c r="H31" s="33">
        <f>0.22/1000*ESTET!$K$7*цены!F31</f>
        <v>0</v>
      </c>
    </row>
    <row r="32" spans="1:8" hidden="1" x14ac:dyDescent="0.25">
      <c r="A32" s="12" t="s">
        <v>47</v>
      </c>
      <c r="B32" s="3" t="s">
        <v>73</v>
      </c>
      <c r="C32" s="4" t="s">
        <v>6</v>
      </c>
      <c r="D32" s="15">
        <v>1850</v>
      </c>
      <c r="E32" s="24">
        <v>7</v>
      </c>
      <c r="F32" s="31">
        <f>IF(AND(ESTET!$K$7=596,ESTET!$B$16=E32),2,0)</f>
        <v>0</v>
      </c>
      <c r="G32" s="32">
        <f t="shared" si="0"/>
        <v>0</v>
      </c>
      <c r="H32" s="33">
        <f>0.22/1000*ESTET!$K$7*цены!F32</f>
        <v>0</v>
      </c>
    </row>
    <row r="33" spans="1:8" hidden="1" x14ac:dyDescent="0.25">
      <c r="A33" s="12" t="s">
        <v>46</v>
      </c>
      <c r="B33" s="3" t="s">
        <v>73</v>
      </c>
      <c r="C33" s="4" t="s">
        <v>5</v>
      </c>
      <c r="D33" s="15">
        <v>1850</v>
      </c>
      <c r="E33" s="24">
        <v>8</v>
      </c>
      <c r="F33" s="31">
        <f>IF(AND(ESTET!$K$7=596,ESTET!$B$16=E33),2,0)</f>
        <v>0</v>
      </c>
      <c r="G33" s="32">
        <f t="shared" si="0"/>
        <v>0</v>
      </c>
      <c r="H33" s="33">
        <f>0.22/1000*ESTET!$K$7*цены!F33</f>
        <v>0</v>
      </c>
    </row>
    <row r="34" spans="1:8" hidden="1" x14ac:dyDescent="0.25">
      <c r="A34" s="12" t="s">
        <v>44</v>
      </c>
      <c r="B34" s="3" t="s">
        <v>73</v>
      </c>
      <c r="C34" s="4" t="s">
        <v>66</v>
      </c>
      <c r="D34" s="15">
        <v>1650</v>
      </c>
      <c r="E34" s="24">
        <v>3</v>
      </c>
      <c r="F34" s="31">
        <f>IF(AND(ESTET!$K$7=596,ESTET!$B$16=E34),2,0)</f>
        <v>0</v>
      </c>
      <c r="G34" s="32">
        <f t="shared" si="0"/>
        <v>0</v>
      </c>
      <c r="H34" s="33">
        <f>0.22/1000*ESTET!$K$7*цены!F34</f>
        <v>0</v>
      </c>
    </row>
    <row r="35" spans="1:8" hidden="1" x14ac:dyDescent="0.25">
      <c r="A35" s="12" t="s">
        <v>42</v>
      </c>
      <c r="B35" s="3" t="s">
        <v>73</v>
      </c>
      <c r="C35" s="4" t="s">
        <v>2</v>
      </c>
      <c r="D35" s="15">
        <v>1650</v>
      </c>
      <c r="E35" s="24">
        <v>2</v>
      </c>
      <c r="F35" s="31">
        <f>IF(AND(ESTET!$K$7=596,ESTET!$B$16=E35),2,0)</f>
        <v>0</v>
      </c>
      <c r="G35" s="32">
        <f t="shared" si="0"/>
        <v>0</v>
      </c>
      <c r="H35" s="33">
        <f>0.22/1000*ESTET!$K$7*цены!F35</f>
        <v>0</v>
      </c>
    </row>
    <row r="36" spans="1:8" hidden="1" x14ac:dyDescent="0.25">
      <c r="A36" s="12" t="s">
        <v>43</v>
      </c>
      <c r="B36" s="3" t="s">
        <v>73</v>
      </c>
      <c r="C36" s="4" t="s">
        <v>3</v>
      </c>
      <c r="D36" s="15">
        <v>1650</v>
      </c>
      <c r="E36" s="24">
        <v>4</v>
      </c>
      <c r="F36" s="31">
        <f>IF(AND(ESTET!$K$7=596,ESTET!$B$16=E36),2,0)</f>
        <v>0</v>
      </c>
      <c r="G36" s="32">
        <f t="shared" si="0"/>
        <v>0</v>
      </c>
      <c r="H36" s="33">
        <f>0.22/1000*ESTET!$K$7*цены!F36</f>
        <v>0</v>
      </c>
    </row>
    <row r="37" spans="1:8" ht="16.5" hidden="1" thickBot="1" x14ac:dyDescent="0.3">
      <c r="A37" s="13" t="s">
        <v>74</v>
      </c>
      <c r="B37" s="9" t="s">
        <v>73</v>
      </c>
      <c r="C37" s="6" t="s">
        <v>61</v>
      </c>
      <c r="D37" s="18">
        <v>1320</v>
      </c>
      <c r="E37" s="20">
        <v>1</v>
      </c>
      <c r="F37" s="34">
        <f>IF(AND(ESTET!$K$7=596,ESTET!$B$16=E37),2,0)</f>
        <v>0</v>
      </c>
      <c r="G37" s="35">
        <f t="shared" si="0"/>
        <v>0</v>
      </c>
      <c r="H37" s="36">
        <f>0.22/1000*ESTET!$K$7*цены!F37</f>
        <v>0</v>
      </c>
    </row>
    <row r="38" spans="1:8" hidden="1" x14ac:dyDescent="0.25">
      <c r="A38" s="11" t="s">
        <v>53</v>
      </c>
      <c r="B38" s="8" t="s">
        <v>76</v>
      </c>
      <c r="C38" s="5" t="s">
        <v>62</v>
      </c>
      <c r="D38" s="16">
        <v>2405</v>
      </c>
      <c r="E38" s="19">
        <v>5</v>
      </c>
      <c r="F38" s="28">
        <f>IF(AND(ESTET!$K$7&lt;&gt;296,ESTET!$K$7&lt;&gt;446,ESTET!$K$7&lt;&gt;496,ESTET!$K$7&lt;&gt;596,ESTET!$B$16=цены!E38),2,0)</f>
        <v>0</v>
      </c>
      <c r="G38" s="29">
        <f t="shared" si="0"/>
        <v>0</v>
      </c>
      <c r="H38" s="30">
        <f>0.22/1000*ESTET!$K$7*цены!F38</f>
        <v>0</v>
      </c>
    </row>
    <row r="39" spans="1:8" hidden="1" x14ac:dyDescent="0.25">
      <c r="A39" s="12" t="s">
        <v>56</v>
      </c>
      <c r="B39" s="3" t="s">
        <v>76</v>
      </c>
      <c r="C39" s="4" t="s">
        <v>7</v>
      </c>
      <c r="D39" s="15">
        <v>2405</v>
      </c>
      <c r="E39" s="24">
        <v>6</v>
      </c>
      <c r="F39" s="31">
        <f>IF(AND(ESTET!$K$7&lt;&gt;296,ESTET!$K$7&lt;&gt;446,ESTET!$K$7&lt;&gt;496,ESTET!$K$7&lt;&gt;596,ESTET!$B$16=цены!E39),2,0)</f>
        <v>0</v>
      </c>
      <c r="G39" s="32">
        <f t="shared" si="0"/>
        <v>0</v>
      </c>
      <c r="H39" s="33">
        <f>0.22/1000*ESTET!$K$7*цены!F39</f>
        <v>0</v>
      </c>
    </row>
    <row r="40" spans="1:8" hidden="1" x14ac:dyDescent="0.25">
      <c r="A40" s="12" t="s">
        <v>122</v>
      </c>
      <c r="B40" s="3" t="s">
        <v>76</v>
      </c>
      <c r="C40" s="4" t="s">
        <v>114</v>
      </c>
      <c r="D40" s="15">
        <v>2405</v>
      </c>
      <c r="E40" s="24">
        <v>9</v>
      </c>
      <c r="F40" s="31">
        <f>IF(AND(ESTET!$K$7&lt;&gt;296,ESTET!$K$7&lt;&gt;446,ESTET!$K$7&lt;&gt;496,ESTET!$K$7&lt;&gt;596,ESTET!$B$16=цены!E40),2,0)</f>
        <v>0</v>
      </c>
      <c r="G40" s="32">
        <f t="shared" ref="G40" si="5">D40*F40</f>
        <v>0</v>
      </c>
      <c r="H40" s="33">
        <f>0.22/1000*ESTET!$K$7*цены!F40</f>
        <v>0</v>
      </c>
    </row>
    <row r="41" spans="1:8" hidden="1" x14ac:dyDescent="0.25">
      <c r="A41" s="12" t="s">
        <v>55</v>
      </c>
      <c r="B41" s="3" t="s">
        <v>76</v>
      </c>
      <c r="C41" s="4" t="s">
        <v>6</v>
      </c>
      <c r="D41" s="15">
        <v>2405</v>
      </c>
      <c r="E41" s="24">
        <v>7</v>
      </c>
      <c r="F41" s="31">
        <f>IF(AND(ESTET!$K$7&lt;&gt;296,ESTET!$K$7&lt;&gt;446,ESTET!$K$7&lt;&gt;496,ESTET!$K$7&lt;&gt;596,ESTET!$B$16=цены!E41),2,0)</f>
        <v>0</v>
      </c>
      <c r="G41" s="32">
        <f t="shared" si="0"/>
        <v>0</v>
      </c>
      <c r="H41" s="33">
        <f>0.22/1000*ESTET!$K$7*цены!F41</f>
        <v>0</v>
      </c>
    </row>
    <row r="42" spans="1:8" hidden="1" x14ac:dyDescent="0.25">
      <c r="A42" s="12" t="s">
        <v>54</v>
      </c>
      <c r="B42" s="3" t="s">
        <v>76</v>
      </c>
      <c r="C42" s="4" t="s">
        <v>5</v>
      </c>
      <c r="D42" s="15">
        <v>2405</v>
      </c>
      <c r="E42" s="24">
        <v>8</v>
      </c>
      <c r="F42" s="31">
        <f>IF(AND(ESTET!$K$7&lt;&gt;296,ESTET!$K$7&lt;&gt;446,ESTET!$K$7&lt;&gt;496,ESTET!$K$7&lt;&gt;596,ESTET!$B$16=цены!E42),2,0)</f>
        <v>0</v>
      </c>
      <c r="G42" s="32">
        <f t="shared" si="0"/>
        <v>0</v>
      </c>
      <c r="H42" s="33">
        <f>0.22/1000*ESTET!$K$7*цены!F42</f>
        <v>0</v>
      </c>
    </row>
    <row r="43" spans="1:8" hidden="1" x14ac:dyDescent="0.25">
      <c r="A43" s="12" t="s">
        <v>52</v>
      </c>
      <c r="B43" s="3" t="s">
        <v>76</v>
      </c>
      <c r="C43" s="4" t="s">
        <v>66</v>
      </c>
      <c r="D43" s="15">
        <v>2145</v>
      </c>
      <c r="E43" s="24">
        <v>3</v>
      </c>
      <c r="F43" s="31">
        <f>IF(AND(ESTET!$K$7&lt;&gt;296,ESTET!$K$7&lt;&gt;446,ESTET!$K$7&lt;&gt;496,ESTET!$K$7&lt;&gt;596,ESTET!$B$16=цены!E43),2,0)</f>
        <v>0</v>
      </c>
      <c r="G43" s="32">
        <f t="shared" si="0"/>
        <v>0</v>
      </c>
      <c r="H43" s="33">
        <f>0.22/1000*ESTET!$K$7*цены!F43</f>
        <v>0</v>
      </c>
    </row>
    <row r="44" spans="1:8" hidden="1" x14ac:dyDescent="0.25">
      <c r="A44" s="12" t="s">
        <v>50</v>
      </c>
      <c r="B44" s="3" t="s">
        <v>76</v>
      </c>
      <c r="C44" s="4" t="s">
        <v>2</v>
      </c>
      <c r="D44" s="15">
        <v>2145</v>
      </c>
      <c r="E44" s="24">
        <v>2</v>
      </c>
      <c r="F44" s="31">
        <f>IF(AND(ESTET!$K$7&lt;&gt;296,ESTET!$K$7&lt;&gt;446,ESTET!$K$7&lt;&gt;496,ESTET!$K$7&lt;&gt;596,ESTET!$B$16=цены!E44),2,0)</f>
        <v>2</v>
      </c>
      <c r="G44" s="32">
        <f t="shared" si="0"/>
        <v>4290</v>
      </c>
      <c r="H44" s="33">
        <f>0.22/1000*ESTET!$K$7*цены!F44</f>
        <v>0</v>
      </c>
    </row>
    <row r="45" spans="1:8" hidden="1" x14ac:dyDescent="0.25">
      <c r="A45" s="12" t="s">
        <v>51</v>
      </c>
      <c r="B45" s="3" t="s">
        <v>76</v>
      </c>
      <c r="C45" s="4" t="s">
        <v>3</v>
      </c>
      <c r="D45" s="15">
        <v>2145</v>
      </c>
      <c r="E45" s="24">
        <v>4</v>
      </c>
      <c r="F45" s="31">
        <f>IF(AND(ESTET!$K$7&lt;&gt;296,ESTET!$K$7&lt;&gt;446,ESTET!$K$7&lt;&gt;496,ESTET!$K$7&lt;&gt;596,ESTET!$B$16=цены!E45),2,0)</f>
        <v>0</v>
      </c>
      <c r="G45" s="32">
        <f t="shared" si="0"/>
        <v>0</v>
      </c>
      <c r="H45" s="33">
        <f>0.22/1000*ESTET!$K$7*цены!F45</f>
        <v>0</v>
      </c>
    </row>
    <row r="46" spans="1:8" ht="16.5" hidden="1" thickBot="1" x14ac:dyDescent="0.3">
      <c r="A46" s="13" t="s">
        <v>75</v>
      </c>
      <c r="B46" s="9" t="s">
        <v>76</v>
      </c>
      <c r="C46" s="6" t="s">
        <v>61</v>
      </c>
      <c r="D46" s="18">
        <v>1720</v>
      </c>
      <c r="E46" s="20">
        <v>1</v>
      </c>
      <c r="F46" s="34">
        <f>IF(AND(ESTET!$K$7&lt;&gt;296,ESTET!$K$7&lt;&gt;446,ESTET!$K$7&lt;&gt;496,ESTET!$K$7&lt;&gt;596,ESTET!$B$16=цены!E46),2,0)</f>
        <v>0</v>
      </c>
      <c r="G46" s="35">
        <f t="shared" si="0"/>
        <v>0</v>
      </c>
      <c r="H46" s="36">
        <f>0.22/1000*ESTET!$K$7*цены!F46</f>
        <v>0</v>
      </c>
    </row>
    <row r="47" spans="1:8" hidden="1" x14ac:dyDescent="0.25">
      <c r="A47" s="11" t="s">
        <v>17</v>
      </c>
      <c r="B47" s="8" t="s">
        <v>77</v>
      </c>
      <c r="C47" s="5" t="s">
        <v>62</v>
      </c>
      <c r="D47" s="16">
        <v>8480</v>
      </c>
      <c r="E47" s="19">
        <v>5</v>
      </c>
      <c r="F47" s="28">
        <f>IF(ESTET!$B$16=цены!E47,2,0)</f>
        <v>0</v>
      </c>
      <c r="G47" s="29">
        <f>D47/3000*ESTET!$K$6*F47</f>
        <v>0</v>
      </c>
      <c r="H47" s="30">
        <f>0.754/1000*ESTET!$K$6*цены!F47</f>
        <v>0</v>
      </c>
    </row>
    <row r="48" spans="1:8" hidden="1" x14ac:dyDescent="0.25">
      <c r="A48" s="12" t="s">
        <v>20</v>
      </c>
      <c r="B48" s="3" t="s">
        <v>77</v>
      </c>
      <c r="C48" s="4" t="s">
        <v>7</v>
      </c>
      <c r="D48" s="15">
        <v>8480</v>
      </c>
      <c r="E48" s="24">
        <v>6</v>
      </c>
      <c r="F48" s="31">
        <f>IF(ESTET!$B$16=цены!E48,2,0)</f>
        <v>0</v>
      </c>
      <c r="G48" s="32">
        <f>D48/3000*ESTET!$K$6*F48</f>
        <v>0</v>
      </c>
      <c r="H48" s="33">
        <f>0.754/1000*ESTET!$K$6*цены!F48</f>
        <v>0</v>
      </c>
    </row>
    <row r="49" spans="1:8" hidden="1" x14ac:dyDescent="0.25">
      <c r="A49" s="12" t="s">
        <v>123</v>
      </c>
      <c r="B49" s="3" t="s">
        <v>77</v>
      </c>
      <c r="C49" s="4" t="s">
        <v>114</v>
      </c>
      <c r="D49" s="15">
        <v>8480</v>
      </c>
      <c r="E49" s="24">
        <v>9</v>
      </c>
      <c r="F49" s="31">
        <f>IF(ESTET!$B$16=цены!E49,2,0)</f>
        <v>0</v>
      </c>
      <c r="G49" s="32">
        <f>D49/3000*ESTET!$K$6*F49</f>
        <v>0</v>
      </c>
      <c r="H49" s="33">
        <f>0.754/1000*ESTET!$K$6*цены!F49</f>
        <v>0</v>
      </c>
    </row>
    <row r="50" spans="1:8" hidden="1" x14ac:dyDescent="0.25">
      <c r="A50" s="12" t="s">
        <v>19</v>
      </c>
      <c r="B50" s="3" t="s">
        <v>77</v>
      </c>
      <c r="C50" s="4" t="s">
        <v>6</v>
      </c>
      <c r="D50" s="15">
        <v>8480</v>
      </c>
      <c r="E50" s="24">
        <v>7</v>
      </c>
      <c r="F50" s="31">
        <f>IF(ESTET!$B$16=цены!E50,2,0)</f>
        <v>0</v>
      </c>
      <c r="G50" s="32">
        <f>D50/3000*ESTET!$K$6*F50</f>
        <v>0</v>
      </c>
      <c r="H50" s="33">
        <f>0.754/1000*ESTET!$K$6*цены!F50</f>
        <v>0</v>
      </c>
    </row>
    <row r="51" spans="1:8" hidden="1" x14ac:dyDescent="0.25">
      <c r="A51" s="12" t="s">
        <v>18</v>
      </c>
      <c r="B51" s="3" t="s">
        <v>77</v>
      </c>
      <c r="C51" s="4" t="s">
        <v>5</v>
      </c>
      <c r="D51" s="15">
        <v>8480</v>
      </c>
      <c r="E51" s="24">
        <v>8</v>
      </c>
      <c r="F51" s="31">
        <f>IF(ESTET!$B$16=цены!E51,2,0)</f>
        <v>0</v>
      </c>
      <c r="G51" s="32">
        <f>D51/3000*ESTET!$K$6*F51</f>
        <v>0</v>
      </c>
      <c r="H51" s="33">
        <f>0.754/1000*ESTET!$K$6*цены!F51</f>
        <v>0</v>
      </c>
    </row>
    <row r="52" spans="1:8" hidden="1" x14ac:dyDescent="0.25">
      <c r="A52" s="12" t="s">
        <v>16</v>
      </c>
      <c r="B52" s="3" t="s">
        <v>77</v>
      </c>
      <c r="C52" s="4" t="s">
        <v>66</v>
      </c>
      <c r="D52" s="15">
        <v>7580</v>
      </c>
      <c r="E52" s="24">
        <v>3</v>
      </c>
      <c r="F52" s="31">
        <f>IF(ESTET!$B$16=цены!E52,2,0)</f>
        <v>0</v>
      </c>
      <c r="G52" s="32">
        <f>D52/3000*ESTET!$K$6*F52</f>
        <v>0</v>
      </c>
      <c r="H52" s="33">
        <f>0.754/1000*ESTET!$K$6*цены!F52</f>
        <v>0</v>
      </c>
    </row>
    <row r="53" spans="1:8" hidden="1" x14ac:dyDescent="0.25">
      <c r="A53" s="12" t="s">
        <v>14</v>
      </c>
      <c r="B53" s="3" t="s">
        <v>77</v>
      </c>
      <c r="C53" s="4" t="s">
        <v>2</v>
      </c>
      <c r="D53" s="15">
        <v>7580</v>
      </c>
      <c r="E53" s="24">
        <v>2</v>
      </c>
      <c r="F53" s="31">
        <f>IF(ESTET!$B$16=цены!E53,2,0)</f>
        <v>2</v>
      </c>
      <c r="G53" s="32">
        <f>D53/3000*ESTET!$K$6*F53</f>
        <v>0</v>
      </c>
      <c r="H53" s="33">
        <f>0.754/1000*ESTET!$K$6*цены!F53</f>
        <v>0</v>
      </c>
    </row>
    <row r="54" spans="1:8" hidden="1" x14ac:dyDescent="0.25">
      <c r="A54" s="12" t="s">
        <v>15</v>
      </c>
      <c r="B54" s="3" t="s">
        <v>77</v>
      </c>
      <c r="C54" s="4" t="s">
        <v>3</v>
      </c>
      <c r="D54" s="15">
        <v>7580</v>
      </c>
      <c r="E54" s="24">
        <v>4</v>
      </c>
      <c r="F54" s="31">
        <f>IF(ESTET!$B$16=цены!E54,2,0)</f>
        <v>0</v>
      </c>
      <c r="G54" s="32">
        <f>D54/3000*ESTET!$K$6*F54</f>
        <v>0</v>
      </c>
      <c r="H54" s="33">
        <f>0.754/1000*ESTET!$K$6*цены!F54</f>
        <v>0</v>
      </c>
    </row>
    <row r="55" spans="1:8" ht="16.5" hidden="1" thickBot="1" x14ac:dyDescent="0.3">
      <c r="A55" s="13" t="s">
        <v>78</v>
      </c>
      <c r="B55" s="9" t="s">
        <v>77</v>
      </c>
      <c r="C55" s="6" t="s">
        <v>61</v>
      </c>
      <c r="D55" s="18">
        <v>6070</v>
      </c>
      <c r="E55" s="20">
        <v>1</v>
      </c>
      <c r="F55" s="34">
        <f>IF(ESTET!$B$16=цены!E55,2,0)</f>
        <v>0</v>
      </c>
      <c r="G55" s="35">
        <f>D55/3000*ESTET!$K$6*F55</f>
        <v>0</v>
      </c>
      <c r="H55" s="36">
        <f>0.754/1000*ESTET!$K$6*цены!F55</f>
        <v>0</v>
      </c>
    </row>
    <row r="56" spans="1:8" hidden="1" x14ac:dyDescent="0.25">
      <c r="A56" s="11" t="s">
        <v>11</v>
      </c>
      <c r="B56" s="8" t="s">
        <v>80</v>
      </c>
      <c r="C56" s="5" t="s">
        <v>62</v>
      </c>
      <c r="D56" s="16">
        <v>10</v>
      </c>
      <c r="E56" s="19">
        <v>5</v>
      </c>
      <c r="F56" s="28">
        <f>IF(ESTET!$B$16=цены!E56,8,0)</f>
        <v>0</v>
      </c>
      <c r="G56" s="29">
        <f>D56*F56</f>
        <v>0</v>
      </c>
      <c r="H56" s="30"/>
    </row>
    <row r="57" spans="1:8" hidden="1" x14ac:dyDescent="0.25">
      <c r="A57" s="12" t="s">
        <v>49</v>
      </c>
      <c r="B57" s="3" t="s">
        <v>80</v>
      </c>
      <c r="C57" s="4" t="s">
        <v>7</v>
      </c>
      <c r="D57" s="15">
        <v>10</v>
      </c>
      <c r="E57" s="24">
        <v>6</v>
      </c>
      <c r="F57" s="31">
        <f>IF(ESTET!$B$16=цены!E57,8,0)</f>
        <v>0</v>
      </c>
      <c r="G57" s="32">
        <f t="shared" ref="G57:G64" si="6">D57*F57</f>
        <v>0</v>
      </c>
      <c r="H57" s="33"/>
    </row>
    <row r="58" spans="1:8" hidden="1" x14ac:dyDescent="0.25">
      <c r="A58" s="12" t="s">
        <v>124</v>
      </c>
      <c r="B58" s="3" t="s">
        <v>125</v>
      </c>
      <c r="C58" s="4" t="s">
        <v>114</v>
      </c>
      <c r="D58" s="15">
        <v>10</v>
      </c>
      <c r="E58" s="24">
        <v>9</v>
      </c>
      <c r="F58" s="31">
        <f>IF(ESTET!$B$16=цены!E58,8,0)</f>
        <v>0</v>
      </c>
      <c r="G58" s="32">
        <f t="shared" ref="G58" si="7">D58*F58</f>
        <v>0</v>
      </c>
      <c r="H58" s="33"/>
    </row>
    <row r="59" spans="1:8" hidden="1" x14ac:dyDescent="0.25">
      <c r="A59" s="12" t="s">
        <v>13</v>
      </c>
      <c r="B59" s="3" t="s">
        <v>80</v>
      </c>
      <c r="C59" s="4" t="s">
        <v>6</v>
      </c>
      <c r="D59" s="15">
        <v>10</v>
      </c>
      <c r="E59" s="24">
        <v>7</v>
      </c>
      <c r="F59" s="31">
        <f>IF(ESTET!$B$16=цены!E59,8,0)</f>
        <v>0</v>
      </c>
      <c r="G59" s="32">
        <f t="shared" si="6"/>
        <v>0</v>
      </c>
      <c r="H59" s="33"/>
    </row>
    <row r="60" spans="1:8" hidden="1" x14ac:dyDescent="0.25">
      <c r="A60" s="12" t="s">
        <v>12</v>
      </c>
      <c r="B60" s="3" t="s">
        <v>80</v>
      </c>
      <c r="C60" s="4" t="s">
        <v>5</v>
      </c>
      <c r="D60" s="15">
        <v>10</v>
      </c>
      <c r="E60" s="24">
        <v>8</v>
      </c>
      <c r="F60" s="31">
        <f>IF(ESTET!$B$16=цены!E60,8,0)</f>
        <v>0</v>
      </c>
      <c r="G60" s="32">
        <f t="shared" si="6"/>
        <v>0</v>
      </c>
      <c r="H60" s="33"/>
    </row>
    <row r="61" spans="1:8" hidden="1" x14ac:dyDescent="0.25">
      <c r="A61" s="12" t="s">
        <v>10</v>
      </c>
      <c r="B61" s="3" t="s">
        <v>80</v>
      </c>
      <c r="C61" s="4" t="s">
        <v>66</v>
      </c>
      <c r="D61" s="15">
        <v>9</v>
      </c>
      <c r="E61" s="24">
        <v>3</v>
      </c>
      <c r="F61" s="31">
        <f>IF(ESTET!$B$16=цены!E61,8,0)</f>
        <v>0</v>
      </c>
      <c r="G61" s="32">
        <f t="shared" si="6"/>
        <v>0</v>
      </c>
      <c r="H61" s="33"/>
    </row>
    <row r="62" spans="1:8" hidden="1" x14ac:dyDescent="0.25">
      <c r="A62" s="12" t="s">
        <v>8</v>
      </c>
      <c r="B62" s="3" t="s">
        <v>80</v>
      </c>
      <c r="C62" s="4" t="s">
        <v>2</v>
      </c>
      <c r="D62" s="15">
        <v>9</v>
      </c>
      <c r="E62" s="24">
        <v>2</v>
      </c>
      <c r="F62" s="31">
        <f>IF(ESTET!$B$16=цены!E62,8,0)</f>
        <v>8</v>
      </c>
      <c r="G62" s="32">
        <f t="shared" si="6"/>
        <v>72</v>
      </c>
      <c r="H62" s="33"/>
    </row>
    <row r="63" spans="1:8" hidden="1" x14ac:dyDescent="0.25">
      <c r="A63" s="12" t="s">
        <v>9</v>
      </c>
      <c r="B63" s="3" t="s">
        <v>80</v>
      </c>
      <c r="C63" s="4" t="s">
        <v>3</v>
      </c>
      <c r="D63" s="15">
        <v>9</v>
      </c>
      <c r="E63" s="24">
        <v>4</v>
      </c>
      <c r="F63" s="31">
        <f>IF(ESTET!$B$16=цены!E63,8,0)</f>
        <v>0</v>
      </c>
      <c r="G63" s="32">
        <f t="shared" si="6"/>
        <v>0</v>
      </c>
      <c r="H63" s="33"/>
    </row>
    <row r="64" spans="1:8" ht="16.5" hidden="1" thickBot="1" x14ac:dyDescent="0.3">
      <c r="A64" s="13" t="s">
        <v>79</v>
      </c>
      <c r="B64" s="9" t="s">
        <v>80</v>
      </c>
      <c r="C64" s="6" t="s">
        <v>61</v>
      </c>
      <c r="D64" s="18">
        <v>9</v>
      </c>
      <c r="E64" s="20">
        <v>1</v>
      </c>
      <c r="F64" s="34">
        <f>IF(ESTET!$B$16=цены!E64,8,0)</f>
        <v>0</v>
      </c>
      <c r="G64" s="35">
        <f t="shared" si="6"/>
        <v>0</v>
      </c>
      <c r="H64" s="36"/>
    </row>
    <row r="65" spans="1:10" hidden="1" x14ac:dyDescent="0.25">
      <c r="A65" s="11"/>
      <c r="B65" s="8" t="s">
        <v>84</v>
      </c>
      <c r="C65" s="5"/>
      <c r="D65" s="16">
        <v>300</v>
      </c>
      <c r="E65" s="19"/>
      <c r="F65" s="28">
        <v>1</v>
      </c>
      <c r="G65" s="29">
        <f>D65*F65</f>
        <v>300</v>
      </c>
      <c r="H65" s="30"/>
    </row>
    <row r="66" spans="1:10" hidden="1" x14ac:dyDescent="0.25">
      <c r="A66" s="12"/>
      <c r="B66" s="3" t="s">
        <v>85</v>
      </c>
      <c r="C66" s="4"/>
      <c r="D66" s="15">
        <v>150</v>
      </c>
      <c r="E66" s="24"/>
      <c r="F66" s="31">
        <f>IF(AND(ESTET!B24=1,ESTET!K6&lt;=900),2,
  IF(AND(ESTET!B24=1,ESTET!K6&lt;=1500),3,
  IF(AND(ESTET!B24=1,ESTET!K6&lt;=2000),4,
  IF(AND(ESTET!B24=1,ESTET!K6&lt;=2700),5,0))))</f>
        <v>2</v>
      </c>
      <c r="G66" s="32">
        <f>D66*F66</f>
        <v>300</v>
      </c>
      <c r="H66" s="33"/>
    </row>
    <row r="67" spans="1:10" ht="16.5" hidden="1" thickBot="1" x14ac:dyDescent="0.3">
      <c r="A67" s="13"/>
      <c r="B67" s="9" t="s">
        <v>86</v>
      </c>
      <c r="C67" s="6"/>
      <c r="D67" s="18">
        <v>500</v>
      </c>
      <c r="E67" s="20"/>
      <c r="F67" s="34">
        <f>IF(AND(ESTET!U23=1,ESTET!K6&lt;=900),2,
  IF(AND(ESTET!U23=1,ESTET!K6&lt;=1500),3,
  IF(AND(ESTET!U23=1,ESTET!K6&lt;=2000),4,
  IF(AND(ESTET!U23=1,ESTET!K6&lt;=2700),5,0))))</f>
        <v>0</v>
      </c>
      <c r="G67" s="35">
        <f>D67*F67</f>
        <v>0</v>
      </c>
      <c r="H67" s="36"/>
    </row>
    <row r="68" spans="1:10" hidden="1" x14ac:dyDescent="0.25">
      <c r="A68" s="23"/>
      <c r="B68" s="2" t="s">
        <v>88</v>
      </c>
      <c r="C68" s="2">
        <f>ESTET!K6-12.5</f>
        <v>-12.5</v>
      </c>
      <c r="D68" s="22"/>
      <c r="E68" s="25"/>
      <c r="F68" s="37"/>
      <c r="G68" s="38"/>
      <c r="H68" s="39"/>
    </row>
    <row r="69" spans="1:10" ht="16.5" hidden="1" thickBot="1" x14ac:dyDescent="0.3">
      <c r="A69" s="17"/>
      <c r="B69" s="9" t="s">
        <v>89</v>
      </c>
      <c r="C69" s="9">
        <f>ESTET!K7-88</f>
        <v>-88</v>
      </c>
      <c r="D69" s="18"/>
      <c r="E69" s="20"/>
      <c r="F69" s="34"/>
      <c r="G69" s="35"/>
      <c r="H69" s="40">
        <f>(C68/1000*C69/1000)*10</f>
        <v>1.1000000000000001E-2</v>
      </c>
    </row>
    <row r="70" spans="1:10" ht="25.9" hidden="1" customHeight="1" x14ac:dyDescent="0.25">
      <c r="G70" s="41">
        <f>SUM(G2:G67)*1.1</f>
        <v>5458.2000000000007</v>
      </c>
      <c r="H70" s="41">
        <f>ROUND(SUM(H2:H69),2)</f>
        <v>0.01</v>
      </c>
      <c r="J70" s="21"/>
    </row>
    <row r="71" spans="1:10" hidden="1" x14ac:dyDescent="0.25"/>
  </sheetData>
  <sheetProtection algorithmName="SHA-512" hashValue="OQvk7Wk38G6nuyVCfQvQhU8waN7ERLNJ0Pl9aPucu2M/hyD6Ik5rIjQsr7NHnMKufh4LywUKMQbQl4elak0UQQ==" saltValue="3ThAFlrpPBhFGyKRCkvCOw==" spinCount="100000" sheet="1" objects="1" scenarios="1"/>
  <phoneticPr fontId="9" type="noConversion"/>
  <conditionalFormatting sqref="A2:H67">
    <cfRule type="expression" dxfId="1" priority="2">
      <formula>$F2&lt;&gt;0</formula>
    </cfRule>
  </conditionalFormatting>
  <conditionalFormatting sqref="F2:H6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7" sqref="L7"/>
    </sheetView>
  </sheetViews>
  <sheetFormatPr defaultRowHeight="15.75" x14ac:dyDescent="0.25"/>
  <cols>
    <col min="1" max="1" width="24.25" customWidth="1"/>
    <col min="2" max="2" width="14.125" style="7" customWidth="1"/>
    <col min="3" max="3" width="52" style="7" bestFit="1" customWidth="1"/>
    <col min="4" max="4" width="16.5" style="7" bestFit="1" customWidth="1"/>
    <col min="5" max="5" width="8.75" style="10" customWidth="1"/>
    <col min="6" max="6" width="9.375" customWidth="1"/>
  </cols>
  <sheetData>
    <row r="1" spans="1:6" ht="16.5" thickBot="1" x14ac:dyDescent="0.3">
      <c r="F1" s="96">
        <v>0</v>
      </c>
    </row>
    <row r="2" spans="1:6" ht="22.9" customHeight="1" thickBot="1" x14ac:dyDescent="0.3">
      <c r="A2" s="85" t="s">
        <v>106</v>
      </c>
      <c r="B2" s="85" t="s">
        <v>58</v>
      </c>
      <c r="C2" s="86" t="s">
        <v>0</v>
      </c>
      <c r="D2" s="86" t="s">
        <v>1</v>
      </c>
      <c r="E2" s="92" t="s">
        <v>98</v>
      </c>
      <c r="F2" s="90" t="s">
        <v>127</v>
      </c>
    </row>
    <row r="3" spans="1:6" ht="20.45" customHeight="1" x14ac:dyDescent="0.25">
      <c r="A3" s="158"/>
      <c r="B3" s="44" t="s">
        <v>24</v>
      </c>
      <c r="C3" s="8" t="s">
        <v>68</v>
      </c>
      <c r="D3" s="5" t="s">
        <v>62</v>
      </c>
      <c r="E3" s="87">
        <v>1400</v>
      </c>
      <c r="F3" s="91">
        <f>E3*(100%-$F$1)</f>
        <v>1400</v>
      </c>
    </row>
    <row r="4" spans="1:6" ht="20.45" customHeight="1" x14ac:dyDescent="0.25">
      <c r="A4" s="159"/>
      <c r="B4" s="42" t="s">
        <v>27</v>
      </c>
      <c r="C4" s="3" t="s">
        <v>68</v>
      </c>
      <c r="D4" s="4" t="s">
        <v>7</v>
      </c>
      <c r="E4" s="88">
        <v>1400</v>
      </c>
      <c r="F4" s="93">
        <f t="shared" ref="F4:F65" si="0">E4*(100%-$F$1)</f>
        <v>1400</v>
      </c>
    </row>
    <row r="5" spans="1:6" ht="20.45" customHeight="1" x14ac:dyDescent="0.25">
      <c r="A5" s="159"/>
      <c r="B5" s="42" t="s">
        <v>118</v>
      </c>
      <c r="C5" s="3" t="s">
        <v>68</v>
      </c>
      <c r="D5" s="4" t="s">
        <v>114</v>
      </c>
      <c r="E5" s="88">
        <v>1400</v>
      </c>
      <c r="F5" s="93">
        <f t="shared" si="0"/>
        <v>1400</v>
      </c>
    </row>
    <row r="6" spans="1:6" ht="20.45" customHeight="1" x14ac:dyDescent="0.25">
      <c r="A6" s="159"/>
      <c r="B6" s="42" t="s">
        <v>26</v>
      </c>
      <c r="C6" s="3" t="s">
        <v>68</v>
      </c>
      <c r="D6" s="4" t="s">
        <v>6</v>
      </c>
      <c r="E6" s="88">
        <v>1400</v>
      </c>
      <c r="F6" s="93">
        <f t="shared" si="0"/>
        <v>1400</v>
      </c>
    </row>
    <row r="7" spans="1:6" ht="20.45" customHeight="1" x14ac:dyDescent="0.25">
      <c r="A7" s="159"/>
      <c r="B7" s="42" t="s">
        <v>25</v>
      </c>
      <c r="C7" s="3" t="s">
        <v>68</v>
      </c>
      <c r="D7" s="4" t="s">
        <v>5</v>
      </c>
      <c r="E7" s="88">
        <v>1400</v>
      </c>
      <c r="F7" s="93">
        <f t="shared" si="0"/>
        <v>1400</v>
      </c>
    </row>
    <row r="8" spans="1:6" ht="20.45" customHeight="1" x14ac:dyDescent="0.25">
      <c r="A8" s="159"/>
      <c r="B8" s="42" t="s">
        <v>23</v>
      </c>
      <c r="C8" s="3" t="s">
        <v>68</v>
      </c>
      <c r="D8" s="4" t="s">
        <v>66</v>
      </c>
      <c r="E8" s="88">
        <v>1050</v>
      </c>
      <c r="F8" s="93">
        <f t="shared" si="0"/>
        <v>1050</v>
      </c>
    </row>
    <row r="9" spans="1:6" ht="20.45" customHeight="1" x14ac:dyDescent="0.25">
      <c r="A9" s="159"/>
      <c r="B9" s="42" t="s">
        <v>21</v>
      </c>
      <c r="C9" s="3" t="s">
        <v>68</v>
      </c>
      <c r="D9" s="4" t="s">
        <v>2</v>
      </c>
      <c r="E9" s="88">
        <v>1050</v>
      </c>
      <c r="F9" s="93">
        <f t="shared" si="0"/>
        <v>1050</v>
      </c>
    </row>
    <row r="10" spans="1:6" ht="20.45" customHeight="1" x14ac:dyDescent="0.25">
      <c r="A10" s="159"/>
      <c r="B10" s="42" t="s">
        <v>22</v>
      </c>
      <c r="C10" s="3" t="s">
        <v>68</v>
      </c>
      <c r="D10" s="4" t="s">
        <v>3</v>
      </c>
      <c r="E10" s="88">
        <v>1050</v>
      </c>
      <c r="F10" s="93">
        <f t="shared" si="0"/>
        <v>1050</v>
      </c>
    </row>
    <row r="11" spans="1:6" ht="20.45" customHeight="1" thickBot="1" x14ac:dyDescent="0.3">
      <c r="A11" s="160"/>
      <c r="B11" s="43" t="s">
        <v>67</v>
      </c>
      <c r="C11" s="9" t="s">
        <v>68</v>
      </c>
      <c r="D11" s="6" t="s">
        <v>61</v>
      </c>
      <c r="E11" s="89">
        <v>840</v>
      </c>
      <c r="F11" s="94">
        <f t="shared" si="0"/>
        <v>840</v>
      </c>
    </row>
    <row r="12" spans="1:6" ht="20.45" customHeight="1" x14ac:dyDescent="0.25">
      <c r="A12" s="158"/>
      <c r="B12" s="44" t="s">
        <v>31</v>
      </c>
      <c r="C12" s="8" t="s">
        <v>69</v>
      </c>
      <c r="D12" s="5" t="s">
        <v>62</v>
      </c>
      <c r="E12" s="87">
        <v>1550</v>
      </c>
      <c r="F12" s="91">
        <f t="shared" si="0"/>
        <v>1550</v>
      </c>
    </row>
    <row r="13" spans="1:6" ht="20.45" customHeight="1" x14ac:dyDescent="0.25">
      <c r="A13" s="159"/>
      <c r="B13" s="42" t="s">
        <v>34</v>
      </c>
      <c r="C13" s="3" t="s">
        <v>69</v>
      </c>
      <c r="D13" s="4" t="s">
        <v>7</v>
      </c>
      <c r="E13" s="88">
        <v>1550</v>
      </c>
      <c r="F13" s="93">
        <f t="shared" si="0"/>
        <v>1550</v>
      </c>
    </row>
    <row r="14" spans="1:6" ht="20.45" customHeight="1" x14ac:dyDescent="0.25">
      <c r="A14" s="159"/>
      <c r="B14" s="42" t="s">
        <v>126</v>
      </c>
      <c r="C14" s="3" t="s">
        <v>69</v>
      </c>
      <c r="D14" s="4" t="s">
        <v>114</v>
      </c>
      <c r="E14" s="88">
        <v>1550</v>
      </c>
      <c r="F14" s="93">
        <f t="shared" si="0"/>
        <v>1550</v>
      </c>
    </row>
    <row r="15" spans="1:6" ht="20.45" customHeight="1" x14ac:dyDescent="0.25">
      <c r="A15" s="159"/>
      <c r="B15" s="42" t="s">
        <v>33</v>
      </c>
      <c r="C15" s="3" t="s">
        <v>69</v>
      </c>
      <c r="D15" s="4" t="s">
        <v>6</v>
      </c>
      <c r="E15" s="88">
        <v>1550</v>
      </c>
      <c r="F15" s="93">
        <f t="shared" si="0"/>
        <v>1550</v>
      </c>
    </row>
    <row r="16" spans="1:6" ht="20.45" customHeight="1" x14ac:dyDescent="0.25">
      <c r="A16" s="159"/>
      <c r="B16" s="42" t="s">
        <v>32</v>
      </c>
      <c r="C16" s="3" t="s">
        <v>69</v>
      </c>
      <c r="D16" s="4" t="s">
        <v>5</v>
      </c>
      <c r="E16" s="88">
        <v>1550</v>
      </c>
      <c r="F16" s="93">
        <f t="shared" si="0"/>
        <v>1550</v>
      </c>
    </row>
    <row r="17" spans="1:6" ht="20.45" customHeight="1" x14ac:dyDescent="0.25">
      <c r="A17" s="159"/>
      <c r="B17" s="42" t="s">
        <v>30</v>
      </c>
      <c r="C17" s="3" t="s">
        <v>69</v>
      </c>
      <c r="D17" s="4" t="s">
        <v>66</v>
      </c>
      <c r="E17" s="88">
        <v>1350</v>
      </c>
      <c r="F17" s="93">
        <f t="shared" si="0"/>
        <v>1350</v>
      </c>
    </row>
    <row r="18" spans="1:6" ht="20.45" customHeight="1" x14ac:dyDescent="0.25">
      <c r="A18" s="159"/>
      <c r="B18" s="42" t="s">
        <v>28</v>
      </c>
      <c r="C18" s="3" t="s">
        <v>69</v>
      </c>
      <c r="D18" s="4" t="s">
        <v>2</v>
      </c>
      <c r="E18" s="88">
        <v>1350</v>
      </c>
      <c r="F18" s="93">
        <f t="shared" si="0"/>
        <v>1350</v>
      </c>
    </row>
    <row r="19" spans="1:6" ht="20.45" customHeight="1" x14ac:dyDescent="0.25">
      <c r="A19" s="159"/>
      <c r="B19" s="42" t="s">
        <v>29</v>
      </c>
      <c r="C19" s="3" t="s">
        <v>69</v>
      </c>
      <c r="D19" s="4" t="s">
        <v>3</v>
      </c>
      <c r="E19" s="88">
        <v>1350</v>
      </c>
      <c r="F19" s="93">
        <f t="shared" si="0"/>
        <v>1350</v>
      </c>
    </row>
    <row r="20" spans="1:6" ht="20.45" customHeight="1" thickBot="1" x14ac:dyDescent="0.3">
      <c r="A20" s="160"/>
      <c r="B20" s="43" t="s">
        <v>70</v>
      </c>
      <c r="C20" s="9" t="s">
        <v>69</v>
      </c>
      <c r="D20" s="6" t="s">
        <v>61</v>
      </c>
      <c r="E20" s="89">
        <v>1080</v>
      </c>
      <c r="F20" s="94">
        <f t="shared" si="0"/>
        <v>1080</v>
      </c>
    </row>
    <row r="21" spans="1:6" ht="20.45" customHeight="1" x14ac:dyDescent="0.25">
      <c r="A21" s="158"/>
      <c r="B21" s="44" t="s">
        <v>38</v>
      </c>
      <c r="C21" s="8" t="s">
        <v>71</v>
      </c>
      <c r="D21" s="5" t="s">
        <v>62</v>
      </c>
      <c r="E21" s="87">
        <v>1700</v>
      </c>
      <c r="F21" s="91">
        <f t="shared" si="0"/>
        <v>1700</v>
      </c>
    </row>
    <row r="22" spans="1:6" ht="20.45" customHeight="1" x14ac:dyDescent="0.25">
      <c r="A22" s="159"/>
      <c r="B22" s="42" t="s">
        <v>41</v>
      </c>
      <c r="C22" s="3" t="s">
        <v>71</v>
      </c>
      <c r="D22" s="4" t="s">
        <v>7</v>
      </c>
      <c r="E22" s="88">
        <v>1700</v>
      </c>
      <c r="F22" s="93">
        <f t="shared" si="0"/>
        <v>1700</v>
      </c>
    </row>
    <row r="23" spans="1:6" ht="20.45" customHeight="1" x14ac:dyDescent="0.25">
      <c r="A23" s="159"/>
      <c r="B23" s="42" t="s">
        <v>120</v>
      </c>
      <c r="C23" s="3" t="s">
        <v>71</v>
      </c>
      <c r="D23" s="4" t="s">
        <v>114</v>
      </c>
      <c r="E23" s="88">
        <v>1700</v>
      </c>
      <c r="F23" s="93">
        <f t="shared" si="0"/>
        <v>1700</v>
      </c>
    </row>
    <row r="24" spans="1:6" ht="20.45" customHeight="1" x14ac:dyDescent="0.25">
      <c r="A24" s="159"/>
      <c r="B24" s="42" t="s">
        <v>40</v>
      </c>
      <c r="C24" s="3" t="s">
        <v>71</v>
      </c>
      <c r="D24" s="4" t="s">
        <v>6</v>
      </c>
      <c r="E24" s="88">
        <v>1700</v>
      </c>
      <c r="F24" s="93">
        <f t="shared" si="0"/>
        <v>1700</v>
      </c>
    </row>
    <row r="25" spans="1:6" ht="20.45" customHeight="1" x14ac:dyDescent="0.25">
      <c r="A25" s="159"/>
      <c r="B25" s="42" t="s">
        <v>39</v>
      </c>
      <c r="C25" s="3" t="s">
        <v>71</v>
      </c>
      <c r="D25" s="4" t="s">
        <v>5</v>
      </c>
      <c r="E25" s="88">
        <v>1700</v>
      </c>
      <c r="F25" s="93">
        <f t="shared" si="0"/>
        <v>1700</v>
      </c>
    </row>
    <row r="26" spans="1:6" ht="20.45" customHeight="1" x14ac:dyDescent="0.25">
      <c r="A26" s="159"/>
      <c r="B26" s="42" t="s">
        <v>37</v>
      </c>
      <c r="C26" s="3" t="s">
        <v>71</v>
      </c>
      <c r="D26" s="4" t="s">
        <v>66</v>
      </c>
      <c r="E26" s="88">
        <v>1480</v>
      </c>
      <c r="F26" s="93">
        <f t="shared" si="0"/>
        <v>1480</v>
      </c>
    </row>
    <row r="27" spans="1:6" ht="20.45" customHeight="1" x14ac:dyDescent="0.25">
      <c r="A27" s="159"/>
      <c r="B27" s="42" t="s">
        <v>35</v>
      </c>
      <c r="C27" s="3" t="s">
        <v>71</v>
      </c>
      <c r="D27" s="4" t="s">
        <v>2</v>
      </c>
      <c r="E27" s="88">
        <v>1480</v>
      </c>
      <c r="F27" s="93">
        <f t="shared" si="0"/>
        <v>1480</v>
      </c>
    </row>
    <row r="28" spans="1:6" ht="20.45" customHeight="1" x14ac:dyDescent="0.25">
      <c r="A28" s="159"/>
      <c r="B28" s="42" t="s">
        <v>36</v>
      </c>
      <c r="C28" s="3" t="s">
        <v>71</v>
      </c>
      <c r="D28" s="4" t="s">
        <v>3</v>
      </c>
      <c r="E28" s="88">
        <v>1480</v>
      </c>
      <c r="F28" s="93">
        <f t="shared" si="0"/>
        <v>1480</v>
      </c>
    </row>
    <row r="29" spans="1:6" ht="20.45" customHeight="1" thickBot="1" x14ac:dyDescent="0.3">
      <c r="A29" s="160"/>
      <c r="B29" s="43" t="s">
        <v>72</v>
      </c>
      <c r="C29" s="9" t="s">
        <v>71</v>
      </c>
      <c r="D29" s="6" t="s">
        <v>61</v>
      </c>
      <c r="E29" s="89">
        <v>1190</v>
      </c>
      <c r="F29" s="94">
        <f t="shared" si="0"/>
        <v>1190</v>
      </c>
    </row>
    <row r="30" spans="1:6" ht="20.45" customHeight="1" x14ac:dyDescent="0.25">
      <c r="A30" s="158"/>
      <c r="B30" s="44" t="s">
        <v>45</v>
      </c>
      <c r="C30" s="8" t="s">
        <v>73</v>
      </c>
      <c r="D30" s="5" t="s">
        <v>62</v>
      </c>
      <c r="E30" s="87">
        <v>1850</v>
      </c>
      <c r="F30" s="91">
        <f t="shared" si="0"/>
        <v>1850</v>
      </c>
    </row>
    <row r="31" spans="1:6" ht="20.45" customHeight="1" x14ac:dyDescent="0.25">
      <c r="A31" s="159"/>
      <c r="B31" s="42" t="s">
        <v>48</v>
      </c>
      <c r="C31" s="3" t="s">
        <v>73</v>
      </c>
      <c r="D31" s="4" t="s">
        <v>7</v>
      </c>
      <c r="E31" s="88">
        <v>1850</v>
      </c>
      <c r="F31" s="93">
        <f t="shared" si="0"/>
        <v>1850</v>
      </c>
    </row>
    <row r="32" spans="1:6" ht="20.45" customHeight="1" x14ac:dyDescent="0.25">
      <c r="A32" s="159"/>
      <c r="B32" s="42" t="s">
        <v>121</v>
      </c>
      <c r="C32" s="3" t="s">
        <v>73</v>
      </c>
      <c r="D32" s="4" t="s">
        <v>114</v>
      </c>
      <c r="E32" s="88">
        <v>1850</v>
      </c>
      <c r="F32" s="93">
        <f t="shared" si="0"/>
        <v>1850</v>
      </c>
    </row>
    <row r="33" spans="1:6" ht="20.45" customHeight="1" x14ac:dyDescent="0.25">
      <c r="A33" s="159"/>
      <c r="B33" s="42" t="s">
        <v>47</v>
      </c>
      <c r="C33" s="3" t="s">
        <v>73</v>
      </c>
      <c r="D33" s="4" t="s">
        <v>6</v>
      </c>
      <c r="E33" s="88">
        <v>1850</v>
      </c>
      <c r="F33" s="93">
        <f t="shared" si="0"/>
        <v>1850</v>
      </c>
    </row>
    <row r="34" spans="1:6" ht="20.45" customHeight="1" x14ac:dyDescent="0.25">
      <c r="A34" s="159"/>
      <c r="B34" s="42" t="s">
        <v>46</v>
      </c>
      <c r="C34" s="3" t="s">
        <v>73</v>
      </c>
      <c r="D34" s="4" t="s">
        <v>5</v>
      </c>
      <c r="E34" s="88">
        <v>1850</v>
      </c>
      <c r="F34" s="93">
        <f t="shared" si="0"/>
        <v>1850</v>
      </c>
    </row>
    <row r="35" spans="1:6" ht="20.45" customHeight="1" x14ac:dyDescent="0.25">
      <c r="A35" s="159"/>
      <c r="B35" s="42" t="s">
        <v>44</v>
      </c>
      <c r="C35" s="3" t="s">
        <v>73</v>
      </c>
      <c r="D35" s="4" t="s">
        <v>66</v>
      </c>
      <c r="E35" s="88">
        <v>1650</v>
      </c>
      <c r="F35" s="93">
        <f t="shared" si="0"/>
        <v>1650</v>
      </c>
    </row>
    <row r="36" spans="1:6" ht="20.45" customHeight="1" x14ac:dyDescent="0.25">
      <c r="A36" s="159"/>
      <c r="B36" s="42" t="s">
        <v>42</v>
      </c>
      <c r="C36" s="3" t="s">
        <v>73</v>
      </c>
      <c r="D36" s="4" t="s">
        <v>2</v>
      </c>
      <c r="E36" s="88">
        <v>1650</v>
      </c>
      <c r="F36" s="93">
        <f t="shared" si="0"/>
        <v>1650</v>
      </c>
    </row>
    <row r="37" spans="1:6" ht="20.45" customHeight="1" x14ac:dyDescent="0.25">
      <c r="A37" s="159"/>
      <c r="B37" s="42" t="s">
        <v>43</v>
      </c>
      <c r="C37" s="3" t="s">
        <v>73</v>
      </c>
      <c r="D37" s="4" t="s">
        <v>3</v>
      </c>
      <c r="E37" s="88">
        <v>1650</v>
      </c>
      <c r="F37" s="93">
        <f t="shared" si="0"/>
        <v>1650</v>
      </c>
    </row>
    <row r="38" spans="1:6" ht="20.45" customHeight="1" thickBot="1" x14ac:dyDescent="0.3">
      <c r="A38" s="160"/>
      <c r="B38" s="43" t="s">
        <v>74</v>
      </c>
      <c r="C38" s="9" t="s">
        <v>73</v>
      </c>
      <c r="D38" s="6" t="s">
        <v>61</v>
      </c>
      <c r="E38" s="89">
        <v>1320</v>
      </c>
      <c r="F38" s="94">
        <f t="shared" si="0"/>
        <v>1320</v>
      </c>
    </row>
    <row r="39" spans="1:6" ht="20.45" customHeight="1" x14ac:dyDescent="0.25">
      <c r="A39" s="158"/>
      <c r="B39" s="44" t="s">
        <v>53</v>
      </c>
      <c r="C39" s="8" t="s">
        <v>76</v>
      </c>
      <c r="D39" s="5" t="s">
        <v>62</v>
      </c>
      <c r="E39" s="87">
        <v>2405</v>
      </c>
      <c r="F39" s="91">
        <f t="shared" si="0"/>
        <v>2405</v>
      </c>
    </row>
    <row r="40" spans="1:6" ht="20.45" customHeight="1" x14ac:dyDescent="0.25">
      <c r="A40" s="159"/>
      <c r="B40" s="42" t="s">
        <v>56</v>
      </c>
      <c r="C40" s="3" t="s">
        <v>76</v>
      </c>
      <c r="D40" s="4" t="s">
        <v>7</v>
      </c>
      <c r="E40" s="88">
        <v>2405</v>
      </c>
      <c r="F40" s="93">
        <f t="shared" si="0"/>
        <v>2405</v>
      </c>
    </row>
    <row r="41" spans="1:6" ht="20.45" customHeight="1" x14ac:dyDescent="0.25">
      <c r="A41" s="159"/>
      <c r="B41" s="42" t="s">
        <v>122</v>
      </c>
      <c r="C41" s="3" t="s">
        <v>76</v>
      </c>
      <c r="D41" s="4" t="s">
        <v>114</v>
      </c>
      <c r="E41" s="88">
        <v>2405</v>
      </c>
      <c r="F41" s="93">
        <f t="shared" si="0"/>
        <v>2405</v>
      </c>
    </row>
    <row r="42" spans="1:6" ht="20.45" customHeight="1" x14ac:dyDescent="0.25">
      <c r="A42" s="159"/>
      <c r="B42" s="42" t="s">
        <v>55</v>
      </c>
      <c r="C42" s="3" t="s">
        <v>76</v>
      </c>
      <c r="D42" s="4" t="s">
        <v>6</v>
      </c>
      <c r="E42" s="88">
        <v>2405</v>
      </c>
      <c r="F42" s="93">
        <f t="shared" si="0"/>
        <v>2405</v>
      </c>
    </row>
    <row r="43" spans="1:6" ht="20.45" customHeight="1" x14ac:dyDescent="0.25">
      <c r="A43" s="159"/>
      <c r="B43" s="42" t="s">
        <v>54</v>
      </c>
      <c r="C43" s="3" t="s">
        <v>76</v>
      </c>
      <c r="D43" s="4" t="s">
        <v>5</v>
      </c>
      <c r="E43" s="88">
        <v>2405</v>
      </c>
      <c r="F43" s="93">
        <f t="shared" si="0"/>
        <v>2405</v>
      </c>
    </row>
    <row r="44" spans="1:6" ht="20.45" customHeight="1" x14ac:dyDescent="0.25">
      <c r="A44" s="159"/>
      <c r="B44" s="42" t="s">
        <v>52</v>
      </c>
      <c r="C44" s="3" t="s">
        <v>76</v>
      </c>
      <c r="D44" s="4" t="s">
        <v>66</v>
      </c>
      <c r="E44" s="88">
        <v>2145</v>
      </c>
      <c r="F44" s="93">
        <f t="shared" si="0"/>
        <v>2145</v>
      </c>
    </row>
    <row r="45" spans="1:6" ht="20.45" customHeight="1" x14ac:dyDescent="0.25">
      <c r="A45" s="159"/>
      <c r="B45" s="42" t="s">
        <v>50</v>
      </c>
      <c r="C45" s="3" t="s">
        <v>76</v>
      </c>
      <c r="D45" s="4" t="s">
        <v>2</v>
      </c>
      <c r="E45" s="88">
        <v>2145</v>
      </c>
      <c r="F45" s="93">
        <f t="shared" si="0"/>
        <v>2145</v>
      </c>
    </row>
    <row r="46" spans="1:6" ht="20.45" customHeight="1" x14ac:dyDescent="0.25">
      <c r="A46" s="159"/>
      <c r="B46" s="42" t="s">
        <v>51</v>
      </c>
      <c r="C46" s="3" t="s">
        <v>76</v>
      </c>
      <c r="D46" s="4" t="s">
        <v>3</v>
      </c>
      <c r="E46" s="88">
        <v>2145</v>
      </c>
      <c r="F46" s="93">
        <f t="shared" si="0"/>
        <v>2145</v>
      </c>
    </row>
    <row r="47" spans="1:6" ht="20.45" customHeight="1" thickBot="1" x14ac:dyDescent="0.3">
      <c r="A47" s="160"/>
      <c r="B47" s="43" t="s">
        <v>75</v>
      </c>
      <c r="C47" s="9" t="s">
        <v>76</v>
      </c>
      <c r="D47" s="6" t="s">
        <v>61</v>
      </c>
      <c r="E47" s="89">
        <v>1720</v>
      </c>
      <c r="F47" s="94">
        <f t="shared" si="0"/>
        <v>1720</v>
      </c>
    </row>
    <row r="48" spans="1:6" ht="20.45" customHeight="1" x14ac:dyDescent="0.25">
      <c r="A48" s="158"/>
      <c r="B48" s="44" t="s">
        <v>17</v>
      </c>
      <c r="C48" s="8" t="s">
        <v>77</v>
      </c>
      <c r="D48" s="5" t="s">
        <v>62</v>
      </c>
      <c r="E48" s="87">
        <v>8480</v>
      </c>
      <c r="F48" s="91">
        <f t="shared" si="0"/>
        <v>8480</v>
      </c>
    </row>
    <row r="49" spans="1:6" ht="20.45" customHeight="1" x14ac:dyDescent="0.25">
      <c r="A49" s="159"/>
      <c r="B49" s="42" t="s">
        <v>20</v>
      </c>
      <c r="C49" s="3" t="s">
        <v>77</v>
      </c>
      <c r="D49" s="4" t="s">
        <v>7</v>
      </c>
      <c r="E49" s="88">
        <v>8480</v>
      </c>
      <c r="F49" s="93">
        <f t="shared" si="0"/>
        <v>8480</v>
      </c>
    </row>
    <row r="50" spans="1:6" ht="20.45" customHeight="1" x14ac:dyDescent="0.25">
      <c r="A50" s="159"/>
      <c r="B50" s="42" t="s">
        <v>123</v>
      </c>
      <c r="C50" s="3" t="s">
        <v>77</v>
      </c>
      <c r="D50" s="4" t="s">
        <v>114</v>
      </c>
      <c r="E50" s="88">
        <v>8480</v>
      </c>
      <c r="F50" s="93">
        <f t="shared" si="0"/>
        <v>8480</v>
      </c>
    </row>
    <row r="51" spans="1:6" ht="20.45" customHeight="1" x14ac:dyDescent="0.25">
      <c r="A51" s="159"/>
      <c r="B51" s="42" t="s">
        <v>19</v>
      </c>
      <c r="C51" s="3" t="s">
        <v>77</v>
      </c>
      <c r="D51" s="4" t="s">
        <v>6</v>
      </c>
      <c r="E51" s="88">
        <v>8480</v>
      </c>
      <c r="F51" s="93">
        <f t="shared" si="0"/>
        <v>8480</v>
      </c>
    </row>
    <row r="52" spans="1:6" ht="20.45" customHeight="1" x14ac:dyDescent="0.25">
      <c r="A52" s="159"/>
      <c r="B52" s="42" t="s">
        <v>18</v>
      </c>
      <c r="C52" s="3" t="s">
        <v>77</v>
      </c>
      <c r="D52" s="4" t="s">
        <v>5</v>
      </c>
      <c r="E52" s="88">
        <v>8480</v>
      </c>
      <c r="F52" s="93">
        <f t="shared" si="0"/>
        <v>8480</v>
      </c>
    </row>
    <row r="53" spans="1:6" ht="20.45" customHeight="1" x14ac:dyDescent="0.25">
      <c r="A53" s="159"/>
      <c r="B53" s="42" t="s">
        <v>16</v>
      </c>
      <c r="C53" s="3" t="s">
        <v>77</v>
      </c>
      <c r="D53" s="4" t="s">
        <v>66</v>
      </c>
      <c r="E53" s="88">
        <v>7580</v>
      </c>
      <c r="F53" s="93">
        <f t="shared" si="0"/>
        <v>7580</v>
      </c>
    </row>
    <row r="54" spans="1:6" ht="20.45" customHeight="1" x14ac:dyDescent="0.25">
      <c r="A54" s="159"/>
      <c r="B54" s="42" t="s">
        <v>14</v>
      </c>
      <c r="C54" s="3" t="s">
        <v>77</v>
      </c>
      <c r="D54" s="4" t="s">
        <v>2</v>
      </c>
      <c r="E54" s="88">
        <v>7580</v>
      </c>
      <c r="F54" s="93">
        <f t="shared" si="0"/>
        <v>7580</v>
      </c>
    </row>
    <row r="55" spans="1:6" ht="20.45" customHeight="1" x14ac:dyDescent="0.25">
      <c r="A55" s="159"/>
      <c r="B55" s="42" t="s">
        <v>15</v>
      </c>
      <c r="C55" s="3" t="s">
        <v>77</v>
      </c>
      <c r="D55" s="4" t="s">
        <v>3</v>
      </c>
      <c r="E55" s="88">
        <v>7580</v>
      </c>
      <c r="F55" s="93">
        <f t="shared" si="0"/>
        <v>7580</v>
      </c>
    </row>
    <row r="56" spans="1:6" ht="20.45" customHeight="1" thickBot="1" x14ac:dyDescent="0.3">
      <c r="A56" s="160"/>
      <c r="B56" s="43" t="s">
        <v>78</v>
      </c>
      <c r="C56" s="9" t="s">
        <v>77</v>
      </c>
      <c r="D56" s="6" t="s">
        <v>61</v>
      </c>
      <c r="E56" s="89">
        <v>6070</v>
      </c>
      <c r="F56" s="94">
        <f t="shared" si="0"/>
        <v>6070</v>
      </c>
    </row>
    <row r="57" spans="1:6" ht="20.45" customHeight="1" x14ac:dyDescent="0.25">
      <c r="A57" s="158"/>
      <c r="B57" s="44" t="s">
        <v>11</v>
      </c>
      <c r="C57" s="8" t="s">
        <v>80</v>
      </c>
      <c r="D57" s="5" t="s">
        <v>62</v>
      </c>
      <c r="E57" s="87">
        <v>10</v>
      </c>
      <c r="F57" s="95">
        <f t="shared" si="0"/>
        <v>10</v>
      </c>
    </row>
    <row r="58" spans="1:6" ht="20.45" customHeight="1" x14ac:dyDescent="0.25">
      <c r="A58" s="159"/>
      <c r="B58" s="42" t="s">
        <v>49</v>
      </c>
      <c r="C58" s="3" t="s">
        <v>80</v>
      </c>
      <c r="D58" s="4" t="s">
        <v>7</v>
      </c>
      <c r="E58" s="88">
        <v>10</v>
      </c>
      <c r="F58" s="93">
        <f t="shared" si="0"/>
        <v>10</v>
      </c>
    </row>
    <row r="59" spans="1:6" ht="20.45" customHeight="1" x14ac:dyDescent="0.25">
      <c r="A59" s="159"/>
      <c r="B59" s="42" t="s">
        <v>124</v>
      </c>
      <c r="C59" s="3" t="s">
        <v>125</v>
      </c>
      <c r="D59" s="4" t="s">
        <v>114</v>
      </c>
      <c r="E59" s="88">
        <v>10</v>
      </c>
      <c r="F59" s="93">
        <f t="shared" si="0"/>
        <v>10</v>
      </c>
    </row>
    <row r="60" spans="1:6" ht="20.45" customHeight="1" x14ac:dyDescent="0.25">
      <c r="A60" s="159"/>
      <c r="B60" s="42" t="s">
        <v>13</v>
      </c>
      <c r="C60" s="3" t="s">
        <v>80</v>
      </c>
      <c r="D60" s="4" t="s">
        <v>6</v>
      </c>
      <c r="E60" s="88">
        <v>10</v>
      </c>
      <c r="F60" s="93">
        <f t="shared" si="0"/>
        <v>10</v>
      </c>
    </row>
    <row r="61" spans="1:6" ht="20.45" customHeight="1" x14ac:dyDescent="0.25">
      <c r="A61" s="159"/>
      <c r="B61" s="42" t="s">
        <v>12</v>
      </c>
      <c r="C61" s="3" t="s">
        <v>80</v>
      </c>
      <c r="D61" s="4" t="s">
        <v>5</v>
      </c>
      <c r="E61" s="88">
        <v>10</v>
      </c>
      <c r="F61" s="93">
        <f t="shared" si="0"/>
        <v>10</v>
      </c>
    </row>
    <row r="62" spans="1:6" ht="20.45" customHeight="1" x14ac:dyDescent="0.25">
      <c r="A62" s="159"/>
      <c r="B62" s="42" t="s">
        <v>10</v>
      </c>
      <c r="C62" s="3" t="s">
        <v>80</v>
      </c>
      <c r="D62" s="4" t="s">
        <v>66</v>
      </c>
      <c r="E62" s="88">
        <v>9</v>
      </c>
      <c r="F62" s="93">
        <f t="shared" si="0"/>
        <v>9</v>
      </c>
    </row>
    <row r="63" spans="1:6" ht="20.45" customHeight="1" x14ac:dyDescent="0.25">
      <c r="A63" s="159"/>
      <c r="B63" s="42" t="s">
        <v>8</v>
      </c>
      <c r="C63" s="3" t="s">
        <v>80</v>
      </c>
      <c r="D63" s="4" t="s">
        <v>2</v>
      </c>
      <c r="E63" s="88">
        <v>9</v>
      </c>
      <c r="F63" s="93">
        <f t="shared" si="0"/>
        <v>9</v>
      </c>
    </row>
    <row r="64" spans="1:6" ht="20.45" customHeight="1" x14ac:dyDescent="0.25">
      <c r="A64" s="159"/>
      <c r="B64" s="42" t="s">
        <v>9</v>
      </c>
      <c r="C64" s="3" t="s">
        <v>80</v>
      </c>
      <c r="D64" s="4" t="s">
        <v>3</v>
      </c>
      <c r="E64" s="88">
        <v>9</v>
      </c>
      <c r="F64" s="93">
        <f t="shared" si="0"/>
        <v>9</v>
      </c>
    </row>
    <row r="65" spans="1:7" ht="20.45" customHeight="1" thickBot="1" x14ac:dyDescent="0.3">
      <c r="A65" s="160"/>
      <c r="B65" s="43" t="s">
        <v>79</v>
      </c>
      <c r="C65" s="9" t="s">
        <v>80</v>
      </c>
      <c r="D65" s="6" t="s">
        <v>61</v>
      </c>
      <c r="E65" s="89">
        <v>9</v>
      </c>
      <c r="F65" s="94">
        <f t="shared" si="0"/>
        <v>9</v>
      </c>
    </row>
    <row r="66" spans="1:7" ht="25.9" customHeight="1" x14ac:dyDescent="0.25">
      <c r="G66" s="21"/>
    </row>
  </sheetData>
  <sheetProtection algorithmName="SHA-512" hashValue="x0UmoQcH5obl2+z9ef2pBQhZDsIqW/l2jsNGfb2sxbR0Pc48KKNd7zH2Ys046qHWbdU9QQqnyzeOlDUPf/aw2w==" saltValue="iP59EJtpEufRw4fb7ImcYw==" spinCount="100000" sheet="1" objects="1" scenarios="1"/>
  <mergeCells count="7">
    <mergeCell ref="A48:A56"/>
    <mergeCell ref="A57:A65"/>
    <mergeCell ref="A3:A11"/>
    <mergeCell ref="A12:A20"/>
    <mergeCell ref="A21:A29"/>
    <mergeCell ref="A30:A38"/>
    <mergeCell ref="A39:A47"/>
  </mergeCells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ESTET</vt:lpstr>
      <vt:lpstr>цены</vt:lpstr>
      <vt:lpstr>комплектующие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Оксана Рыжакина</cp:lastModifiedBy>
  <cp:lastPrinted>2022-08-04T12:54:26Z</cp:lastPrinted>
  <dcterms:created xsi:type="dcterms:W3CDTF">2019-10-08T11:24:46Z</dcterms:created>
  <dcterms:modified xsi:type="dcterms:W3CDTF">2025-10-08T14:26:53Z</dcterms:modified>
  <cp:contentStatus/>
</cp:coreProperties>
</file>