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ЭтаКнига"/>
  <mc:AlternateContent xmlns:mc="http://schemas.openxmlformats.org/markup-compatibility/2006">
    <mc:Choice Requires="x15">
      <x15ac:absPath xmlns:x15ac="http://schemas.microsoft.com/office/spreadsheetml/2010/11/ac" url="Z:\DataNew on Admin\Работа\ПРАЙС-ЛИСТЫ\Калькулятор готовых изделий\"/>
    </mc:Choice>
  </mc:AlternateContent>
  <xr:revisionPtr revIDLastSave="0" documentId="13_ncr:1_{3D7FA370-445F-4AC8-9D61-EFABF92D1ADB}" xr6:coauthVersionLast="36" xr6:coauthVersionMax="47" xr10:uidLastSave="{00000000-0000-0000-0000-000000000000}"/>
  <bookViews>
    <workbookView xWindow="0" yWindow="0" windowWidth="28800" windowHeight="11025" firstSheet="1" activeTab="1" xr2:uid="{00000000-000D-0000-FFFF-FFFF00000000}"/>
  </bookViews>
  <sheets>
    <sheet name="новый расчет" sheetId="4" state="hidden" r:id="rId1"/>
    <sheet name="SHINE" sheetId="8" r:id="rId2"/>
    <sheet name="цены расчет" sheetId="6" state="hidden" r:id="rId3"/>
    <sheet name="комплектующие" sheetId="10" r:id="rId4"/>
  </sheets>
  <definedNames>
    <definedName name="ширина">#REF!</definedName>
    <definedName name="Ширина__Профиль_горизонтальный_с_уплотнителем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6" l="1"/>
  <c r="I61" i="6" s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3" i="10"/>
  <c r="I28" i="8"/>
  <c r="H79" i="6" l="1"/>
  <c r="I79" i="6" s="1"/>
  <c r="H70" i="6"/>
  <c r="I70" i="6" s="1"/>
  <c r="H68" i="6"/>
  <c r="H69" i="6"/>
  <c r="H52" i="6"/>
  <c r="I52" i="6" s="1"/>
  <c r="K52" i="6" s="1"/>
  <c r="H43" i="6"/>
  <c r="I43" i="6" s="1"/>
  <c r="H34" i="6"/>
  <c r="I34" i="6" s="1"/>
  <c r="H25" i="6"/>
  <c r="I25" i="6" s="1"/>
  <c r="H16" i="6"/>
  <c r="I16" i="6" s="1"/>
  <c r="H7" i="6"/>
  <c r="K7" i="6" s="1"/>
  <c r="B19" i="8"/>
  <c r="U18" i="8"/>
  <c r="F9" i="8"/>
  <c r="K79" i="6" l="1"/>
  <c r="K43" i="6"/>
  <c r="K34" i="6"/>
  <c r="K25" i="6"/>
  <c r="K16" i="6"/>
  <c r="I7" i="6"/>
  <c r="F10" i="8"/>
  <c r="H87" i="6"/>
  <c r="M24" i="8" s="1"/>
  <c r="H86" i="6" l="1"/>
  <c r="H48" i="6"/>
  <c r="K48" i="6" s="1"/>
  <c r="H40" i="6"/>
  <c r="K40" i="6" s="1"/>
  <c r="H41" i="6"/>
  <c r="K41" i="6" s="1"/>
  <c r="H42" i="6"/>
  <c r="K42" i="6" s="1"/>
  <c r="H44" i="6"/>
  <c r="K44" i="6" s="1"/>
  <c r="H45" i="6"/>
  <c r="K45" i="6" s="1"/>
  <c r="H46" i="6"/>
  <c r="K46" i="6" s="1"/>
  <c r="H47" i="6"/>
  <c r="K47" i="6" s="1"/>
  <c r="F30" i="8" l="1"/>
  <c r="G24" i="8"/>
  <c r="I86" i="6"/>
  <c r="C30" i="8"/>
  <c r="C91" i="6"/>
  <c r="C90" i="6"/>
  <c r="H66" i="6"/>
  <c r="I66" i="6" s="1"/>
  <c r="H65" i="6"/>
  <c r="I65" i="6" s="1"/>
  <c r="H64" i="6"/>
  <c r="I64" i="6" s="1"/>
  <c r="H63" i="6"/>
  <c r="I63" i="6" s="1"/>
  <c r="H62" i="6"/>
  <c r="I62" i="6" s="1"/>
  <c r="H60" i="6"/>
  <c r="I60" i="6" s="1"/>
  <c r="H59" i="6"/>
  <c r="I59" i="6" s="1"/>
  <c r="H58" i="6"/>
  <c r="I58" i="6" s="1"/>
  <c r="H85" i="6"/>
  <c r="K85" i="6" s="1"/>
  <c r="H32" i="6"/>
  <c r="K32" i="6" s="1"/>
  <c r="H33" i="6"/>
  <c r="K33" i="6" s="1"/>
  <c r="H35" i="6"/>
  <c r="K35" i="6" s="1"/>
  <c r="H36" i="6"/>
  <c r="K36" i="6" s="1"/>
  <c r="H37" i="6"/>
  <c r="K37" i="6" s="1"/>
  <c r="H38" i="6"/>
  <c r="K38" i="6" s="1"/>
  <c r="H39" i="6"/>
  <c r="K39" i="6" s="1"/>
  <c r="H31" i="6"/>
  <c r="K31" i="6" s="1"/>
  <c r="H23" i="6"/>
  <c r="K23" i="6" s="1"/>
  <c r="H24" i="6"/>
  <c r="K24" i="6" s="1"/>
  <c r="H26" i="6"/>
  <c r="K26" i="6" s="1"/>
  <c r="H27" i="6"/>
  <c r="K27" i="6" s="1"/>
  <c r="H28" i="6"/>
  <c r="K28" i="6" s="1"/>
  <c r="H29" i="6"/>
  <c r="K29" i="6" s="1"/>
  <c r="H30" i="6"/>
  <c r="K30" i="6" s="1"/>
  <c r="H22" i="6"/>
  <c r="K22" i="6" s="1"/>
  <c r="H14" i="6"/>
  <c r="K14" i="6" s="1"/>
  <c r="H15" i="6"/>
  <c r="K15" i="6" s="1"/>
  <c r="H17" i="6"/>
  <c r="K17" i="6" s="1"/>
  <c r="H18" i="6"/>
  <c r="K18" i="6" s="1"/>
  <c r="H19" i="6"/>
  <c r="K19" i="6" s="1"/>
  <c r="H20" i="6"/>
  <c r="K20" i="6" s="1"/>
  <c r="H21" i="6"/>
  <c r="K21" i="6" s="1"/>
  <c r="H13" i="6"/>
  <c r="K13" i="6" s="1"/>
  <c r="H84" i="6"/>
  <c r="I84" i="6" s="1"/>
  <c r="H83" i="6"/>
  <c r="I83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I68" i="6"/>
  <c r="I69" i="6"/>
  <c r="H71" i="6"/>
  <c r="I71" i="6" s="1"/>
  <c r="H72" i="6"/>
  <c r="I72" i="6" s="1"/>
  <c r="H73" i="6"/>
  <c r="I73" i="6" s="1"/>
  <c r="H74" i="6"/>
  <c r="I74" i="6" s="1"/>
  <c r="H75" i="6"/>
  <c r="I75" i="6" s="1"/>
  <c r="H67" i="6"/>
  <c r="I67" i="6" s="1"/>
  <c r="H50" i="6"/>
  <c r="I50" i="6" s="1"/>
  <c r="H51" i="6"/>
  <c r="I51" i="6" s="1"/>
  <c r="H53" i="6"/>
  <c r="I53" i="6" s="1"/>
  <c r="H54" i="6"/>
  <c r="I54" i="6" s="1"/>
  <c r="H55" i="6"/>
  <c r="I55" i="6" s="1"/>
  <c r="H56" i="6"/>
  <c r="H57" i="6"/>
  <c r="I57" i="6" s="1"/>
  <c r="H49" i="6"/>
  <c r="I49" i="6" s="1"/>
  <c r="H12" i="6"/>
  <c r="K12" i="6" s="1"/>
  <c r="H11" i="6"/>
  <c r="K11" i="6" s="1"/>
  <c r="H10" i="6"/>
  <c r="K10" i="6" s="1"/>
  <c r="H8" i="6"/>
  <c r="K8" i="6" s="1"/>
  <c r="H6" i="6"/>
  <c r="K6" i="6" s="1"/>
  <c r="H5" i="6"/>
  <c r="K5" i="6" s="1"/>
  <c r="H4" i="6"/>
  <c r="K4" i="6" s="1"/>
  <c r="W9" i="4"/>
  <c r="W7" i="4"/>
  <c r="W8" i="4"/>
  <c r="W10" i="4"/>
  <c r="K53" i="6" l="1"/>
  <c r="I45" i="6"/>
  <c r="I39" i="6"/>
  <c r="I15" i="6"/>
  <c r="I22" i="6"/>
  <c r="I36" i="6"/>
  <c r="I35" i="6"/>
  <c r="K55" i="6"/>
  <c r="I46" i="6"/>
  <c r="I31" i="6"/>
  <c r="I17" i="6"/>
  <c r="I42" i="6"/>
  <c r="I41" i="6"/>
  <c r="I29" i="6"/>
  <c r="K49" i="6"/>
  <c r="I28" i="6"/>
  <c r="I47" i="6"/>
  <c r="I18" i="6"/>
  <c r="K50" i="6"/>
  <c r="I14" i="6"/>
  <c r="K57" i="6"/>
  <c r="I13" i="6"/>
  <c r="I27" i="6"/>
  <c r="I40" i="6"/>
  <c r="I24" i="6"/>
  <c r="K54" i="6"/>
  <c r="K51" i="6"/>
  <c r="I44" i="6"/>
  <c r="I38" i="6"/>
  <c r="I37" i="6"/>
  <c r="I33" i="6"/>
  <c r="I26" i="6"/>
  <c r="K90" i="6"/>
  <c r="I56" i="6"/>
  <c r="K56" i="6" s="1"/>
  <c r="I85" i="6"/>
  <c r="I87" i="6"/>
  <c r="Q39" i="8"/>
  <c r="I48" i="6"/>
  <c r="I21" i="6"/>
  <c r="K65" i="6"/>
  <c r="K62" i="6"/>
  <c r="K60" i="6"/>
  <c r="K63" i="6"/>
  <c r="K75" i="6"/>
  <c r="K64" i="6"/>
  <c r="K59" i="6"/>
  <c r="I19" i="6"/>
  <c r="K77" i="6"/>
  <c r="K67" i="6"/>
  <c r="K58" i="6"/>
  <c r="K73" i="6"/>
  <c r="K76" i="6"/>
  <c r="K66" i="6"/>
  <c r="K69" i="6"/>
  <c r="K84" i="6"/>
  <c r="K71" i="6"/>
  <c r="K83" i="6"/>
  <c r="I32" i="6"/>
  <c r="K82" i="6"/>
  <c r="K72" i="6"/>
  <c r="K68" i="6"/>
  <c r="K81" i="6"/>
  <c r="I30" i="6"/>
  <c r="K80" i="6"/>
  <c r="K78" i="6"/>
  <c r="K74" i="6"/>
  <c r="I20" i="6"/>
  <c r="I23" i="6"/>
  <c r="I12" i="6"/>
  <c r="H9" i="6"/>
  <c r="K9" i="6" s="1"/>
  <c r="I11" i="6"/>
  <c r="I10" i="6"/>
  <c r="I6" i="6"/>
  <c r="I5" i="6"/>
  <c r="I8" i="6"/>
  <c r="I4" i="6"/>
  <c r="R32" i="4"/>
  <c r="W16" i="4"/>
  <c r="G28" i="4" s="1"/>
  <c r="I9" i="6" l="1"/>
  <c r="K92" i="6"/>
  <c r="L92" i="6" l="1"/>
  <c r="Q38" i="8" s="1"/>
  <c r="I92" i="6"/>
  <c r="R31" i="4"/>
  <c r="P30" i="8" l="1"/>
  <c r="R28" i="4"/>
  <c r="R31" i="8" l="1"/>
</calcChain>
</file>

<file path=xl/sharedStrings.xml><?xml version="1.0" encoding="utf-8"?>
<sst xmlns="http://schemas.openxmlformats.org/spreadsheetml/2006/main" count="761" uniqueCount="189">
  <si>
    <t>Цвет</t>
  </si>
  <si>
    <t>антрацит</t>
  </si>
  <si>
    <t>устричный</t>
  </si>
  <si>
    <t>коньяк</t>
  </si>
  <si>
    <t>S0131.0446.U</t>
  </si>
  <si>
    <t>S0131.0446.C</t>
  </si>
  <si>
    <t>S0131.0446.A</t>
  </si>
  <si>
    <t>никель</t>
  </si>
  <si>
    <t>розовое золото</t>
  </si>
  <si>
    <t>латунь</t>
  </si>
  <si>
    <t>S0131.0446.Ol</t>
  </si>
  <si>
    <t>S0131.0446.N</t>
  </si>
  <si>
    <t>S0131.0446.G</t>
  </si>
  <si>
    <t>S0131.0296.A</t>
  </si>
  <si>
    <t>S0131.0296.U</t>
  </si>
  <si>
    <t>S0131.0296.C</t>
  </si>
  <si>
    <t>S0131.0296.Ol</t>
  </si>
  <si>
    <t>S0131.0296.N</t>
  </si>
  <si>
    <t>S0131.0296.G</t>
  </si>
  <si>
    <t>S0131.0496.A</t>
  </si>
  <si>
    <t>S0131.0496.U</t>
  </si>
  <si>
    <t>S0131.0496.C</t>
  </si>
  <si>
    <t>S0131.0496.Ol</t>
  </si>
  <si>
    <t>S0131.0496.N</t>
  </si>
  <si>
    <t>S0131.0496.G</t>
  </si>
  <si>
    <t>S0131.0596.A</t>
  </si>
  <si>
    <t>S0131.0596.U</t>
  </si>
  <si>
    <t>S0131.0596.C</t>
  </si>
  <si>
    <t>S0131.0596.Ol</t>
  </si>
  <si>
    <t>S0131.0596.N</t>
  </si>
  <si>
    <t>S0131.0596.G</t>
  </si>
  <si>
    <t>S0132.3000.A</t>
  </si>
  <si>
    <t>S0132.3000.U</t>
  </si>
  <si>
    <t>S0132.3000.C</t>
  </si>
  <si>
    <t>S0132.3000.Ol</t>
  </si>
  <si>
    <t>S0132.3000.N</t>
  </si>
  <si>
    <t>S0132.3000.G</t>
  </si>
  <si>
    <t>S0133.0120.A</t>
  </si>
  <si>
    <t>S0133.0120.U</t>
  </si>
  <si>
    <t>S0133.0120.C</t>
  </si>
  <si>
    <t>S0133.0120.Ol</t>
  </si>
  <si>
    <t>S0133.0120.N</t>
  </si>
  <si>
    <t>S0133.0120.G</t>
  </si>
  <si>
    <t>S01.A</t>
  </si>
  <si>
    <t>S01.U</t>
  </si>
  <si>
    <t>S01.C</t>
  </si>
  <si>
    <t>S01.Ol</t>
  </si>
  <si>
    <t>S01.N</t>
  </si>
  <si>
    <t>S01.G</t>
  </si>
  <si>
    <t>S03.A</t>
  </si>
  <si>
    <t>S03.U</t>
  </si>
  <si>
    <t>S03.C</t>
  </si>
  <si>
    <t>S03.Ol</t>
  </si>
  <si>
    <t>S03.N</t>
  </si>
  <si>
    <t>S03.G</t>
  </si>
  <si>
    <t>S0131.0596.L</t>
  </si>
  <si>
    <t>S0131.0496.L</t>
  </si>
  <si>
    <t>S0131.0446.L</t>
  </si>
  <si>
    <t>S0131.0296.L</t>
  </si>
  <si>
    <t>S0132.3000.L</t>
  </si>
  <si>
    <t>S0133.0120.L</t>
  </si>
  <si>
    <t>S01.L</t>
  </si>
  <si>
    <t>Высота</t>
  </si>
  <si>
    <t>S0131.0000.A</t>
  </si>
  <si>
    <t>S0131.0000.U</t>
  </si>
  <si>
    <t>S0131.0000.C</t>
  </si>
  <si>
    <t>S0131.0000.Ol</t>
  </si>
  <si>
    <t>S0131.0000.N</t>
  </si>
  <si>
    <t>S0131.0000.G</t>
  </si>
  <si>
    <t>S0131.0000.L</t>
  </si>
  <si>
    <t>Справочная информация:</t>
  </si>
  <si>
    <t>Артикул</t>
  </si>
  <si>
    <t>S03.L</t>
  </si>
  <si>
    <t>ОБРАТИТЕ ВНИМАНИЕ! Стекло должно быть с обработанной по периметру фаской</t>
  </si>
  <si>
    <t>темно-оливковый</t>
  </si>
  <si>
    <t>Ширина</t>
  </si>
  <si>
    <t>Выберите тип сборки:</t>
  </si>
  <si>
    <t>Введите размеры фасада, мм:</t>
  </si>
  <si>
    <t>Выберите цвет:</t>
  </si>
  <si>
    <t>Добавьте присадки:</t>
  </si>
  <si>
    <t>Добавьте петли:</t>
  </si>
  <si>
    <t>черный</t>
  </si>
  <si>
    <t>флорентийская бронза</t>
  </si>
  <si>
    <t>артикул</t>
  </si>
  <si>
    <t>цена</t>
  </si>
  <si>
    <t>брошюра</t>
  </si>
  <si>
    <t>Добавьте ручку:</t>
  </si>
  <si>
    <t xml:space="preserve"> </t>
  </si>
  <si>
    <t xml:space="preserve">коньяк </t>
  </si>
  <si>
    <t>шт.</t>
  </si>
  <si>
    <t>Профиль рамочный вертикальный с уплотнителем 3000</t>
  </si>
  <si>
    <t>Профиль горизонтальный с уплотнителем 296</t>
  </si>
  <si>
    <t>Профиль горизонтальный с уплотнителем 446</t>
  </si>
  <si>
    <t>Профиль горизонтальный с уплотнителем 496</t>
  </si>
  <si>
    <t>Профиль горизонтальный с уплотнителем 596</t>
  </si>
  <si>
    <t>Ручка (2винта в комплекте) 120 мм</t>
  </si>
  <si>
    <t>Саморез для соединения вертикального и горизонтального профиля 3,9×25</t>
  </si>
  <si>
    <t>Винт крепежный для сборки рамки из вертикального профиля М4×8</t>
  </si>
  <si>
    <t>Уголок сборочный для  рамки из вертикального профиля 62×58</t>
  </si>
  <si>
    <t>вес</t>
  </si>
  <si>
    <t>Размеры вставки из стекла: высота, мм</t>
  </si>
  <si>
    <t xml:space="preserve">                                                ширина, мм</t>
  </si>
  <si>
    <t>розовое 
золото</t>
  </si>
  <si>
    <t>без 
присадок</t>
  </si>
  <si>
    <t>без 
петель</t>
  </si>
  <si>
    <t>без 
стекла</t>
  </si>
  <si>
    <t>Справочная информация!</t>
  </si>
  <si>
    <t>Вес фасада со стеклом толщиной 4 мм, кг</t>
  </si>
  <si>
    <t>Размер вставки из стекла, мм</t>
  </si>
  <si>
    <t>Фасад SHINE</t>
  </si>
  <si>
    <t>добавить присадки</t>
  </si>
  <si>
    <t>добавить петли</t>
  </si>
  <si>
    <t>добавить стекло</t>
  </si>
  <si>
    <t>запил 
под 90°</t>
  </si>
  <si>
    <t>запил 
под 45°</t>
  </si>
  <si>
    <t>наименование изделия</t>
  </si>
  <si>
    <t>без 
ручки</t>
  </si>
  <si>
    <t>добавить 
ручку</t>
  </si>
  <si>
    <t>контакты</t>
  </si>
  <si>
    <t>убрать</t>
  </si>
  <si>
    <t>упаковка в сборе</t>
  </si>
  <si>
    <t>до 600</t>
  </si>
  <si>
    <t>добавить окно с кол-вом</t>
  </si>
  <si>
    <t>черный (неро)</t>
  </si>
  <si>
    <t>черный 
(неро)</t>
  </si>
  <si>
    <t>выс.шир.</t>
  </si>
  <si>
    <t>Высота (до 2700)</t>
  </si>
  <si>
    <t>Добавьте стекло 4 мм: "stop sol"</t>
  </si>
  <si>
    <t>2000.496NE-5FG</t>
  </si>
  <si>
    <t>да</t>
  </si>
  <si>
    <t>нет</t>
  </si>
  <si>
    <t>S0131.0296.NE</t>
  </si>
  <si>
    <t>S0131.0446.NE</t>
  </si>
  <si>
    <t>S0131.0496.NE</t>
  </si>
  <si>
    <t>S0131.0596.NE</t>
  </si>
  <si>
    <t>S0131.0000.NE</t>
  </si>
  <si>
    <t>S0132.3000.NE</t>
  </si>
  <si>
    <t>S0133.0120.NE</t>
  </si>
  <si>
    <t>S01.NE</t>
  </si>
  <si>
    <t>S03.NE</t>
  </si>
  <si>
    <t>мм</t>
  </si>
  <si>
    <t xml:space="preserve">     </t>
  </si>
  <si>
    <t>Профиль горизонтальный с уплотнителем 650</t>
  </si>
  <si>
    <t>Наименование</t>
  </si>
  <si>
    <t>NE</t>
  </si>
  <si>
    <t>A</t>
  </si>
  <si>
    <t>C</t>
  </si>
  <si>
    <t>U</t>
  </si>
  <si>
    <t>OI</t>
  </si>
  <si>
    <t>L</t>
  </si>
  <si>
    <t>G</t>
  </si>
  <si>
    <t>N</t>
  </si>
  <si>
    <t>упак в разборе</t>
  </si>
  <si>
    <t>присадка</t>
  </si>
  <si>
    <t>петля</t>
  </si>
  <si>
    <t>Цена, ₽</t>
  </si>
  <si>
    <t>Вес фасада со стеклом толщиной 4 мм (приблизительное значение)</t>
  </si>
  <si>
    <t>Посмотреть техническую 
информацию</t>
  </si>
  <si>
    <t>Профиль горизонтальный с уплотнителем 296 мм</t>
  </si>
  <si>
    <t>Профиль горизонтальный с уплотнителем 446 мм</t>
  </si>
  <si>
    <t>Профиль горизонтальный с уплотнителем 496 мм</t>
  </si>
  <si>
    <t>Профиль горизонтальный с уплотнителем 596 мм</t>
  </si>
  <si>
    <t>Профиль рамочный вертикальный с уплотнителем 3000 мм</t>
  </si>
  <si>
    <t>Ед. изм.</t>
  </si>
  <si>
    <t>Профиль горизонтальный с уплотнителем нестандартный</t>
  </si>
  <si>
    <t>Добавьте присадки 
под чашечку петли</t>
  </si>
  <si>
    <t>Добавьте ручку 
120 мм</t>
  </si>
  <si>
    <t>с запилом под 45°</t>
  </si>
  <si>
    <t xml:space="preserve">  • максимальная высота - 2700 мм</t>
  </si>
  <si>
    <t>Цена со скидкой, ₽</t>
  </si>
  <si>
    <t>Фото/схема</t>
  </si>
  <si>
    <t>Добавьте петли  FGV 
OMNIA L, 105°</t>
  </si>
  <si>
    <t>РАСЧЕТ ФАСАДА ИЗ РАМОЧНОГО ПРОФИЛЯ ALUMOVE SHINE</t>
  </si>
  <si>
    <t>Размер вставки из стекла толщиной 4 мм (с еврокромкой по периметру)</t>
  </si>
  <si>
    <t>скачать форму заказа с узким горизонтальным профилем</t>
  </si>
  <si>
    <t>скачать форму заказа с запилом под 45°</t>
  </si>
  <si>
    <t>итальянское золото</t>
  </si>
  <si>
    <t>с узким
горизонтальным</t>
  </si>
  <si>
    <t>IG</t>
  </si>
  <si>
    <t>S0131.0296.IG</t>
  </si>
  <si>
    <t>S0131.0446.IG</t>
  </si>
  <si>
    <t>S0131.0496.IG</t>
  </si>
  <si>
    <t>S0131.0596.IG</t>
  </si>
  <si>
    <t>S0131.0000.IG</t>
  </si>
  <si>
    <t>S0132.3000.IG</t>
  </si>
  <si>
    <t>S0133.0120.IG</t>
  </si>
  <si>
    <t>S01.IG</t>
  </si>
  <si>
    <t>S03.IG</t>
  </si>
  <si>
    <t>Дополнительно необходимо заполнить форму заказа на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</si>
</sst>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i/>
      <sz val="10"/>
      <color rgb="FF00206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2">
    <xf numFmtId="0" fontId="0" fillId="0" borderId="0" xfId="0"/>
    <xf numFmtId="0" fontId="3" fillId="0" borderId="0" xfId="1"/>
    <xf numFmtId="0" fontId="0" fillId="0" borderId="27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0" fillId="0" borderId="33" xfId="0" applyBorder="1"/>
    <xf numFmtId="0" fontId="0" fillId="0" borderId="31" xfId="0" applyBorder="1"/>
    <xf numFmtId="0" fontId="0" fillId="0" borderId="13" xfId="0" applyBorder="1"/>
    <xf numFmtId="0" fontId="0" fillId="0" borderId="16" xfId="0" applyBorder="1"/>
    <xf numFmtId="0" fontId="0" fillId="0" borderId="0" xfId="0" applyFont="1"/>
    <xf numFmtId="0" fontId="0" fillId="0" borderId="9" xfId="0" applyBorder="1"/>
    <xf numFmtId="0" fontId="0" fillId="0" borderId="17" xfId="0" applyBorder="1"/>
    <xf numFmtId="0" fontId="0" fillId="0" borderId="22" xfId="0" applyBorder="1"/>
    <xf numFmtId="0" fontId="0" fillId="0" borderId="26" xfId="0" applyBorder="1"/>
    <xf numFmtId="0" fontId="0" fillId="0" borderId="20" xfId="0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6" borderId="21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6" borderId="21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4" xfId="0" applyBorder="1"/>
    <xf numFmtId="0" fontId="0" fillId="0" borderId="35" xfId="0" applyBorder="1"/>
    <xf numFmtId="0" fontId="0" fillId="0" borderId="6" xfId="0" applyBorder="1"/>
    <xf numFmtId="0" fontId="12" fillId="0" borderId="0" xfId="0" applyFont="1"/>
    <xf numFmtId="0" fontId="12" fillId="0" borderId="5" xfId="0" applyFont="1" applyBorder="1"/>
    <xf numFmtId="0" fontId="12" fillId="0" borderId="1" xfId="0" applyFont="1" applyBorder="1"/>
    <xf numFmtId="0" fontId="12" fillId="0" borderId="2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2" xfId="0" applyFont="1" applyBorder="1"/>
    <xf numFmtId="0" fontId="0" fillId="0" borderId="12" xfId="0" applyBorder="1" applyAlignment="1">
      <alignment horizontal="center"/>
    </xf>
    <xf numFmtId="0" fontId="0" fillId="0" borderId="43" xfId="0" applyBorder="1"/>
    <xf numFmtId="0" fontId="0" fillId="2" borderId="13" xfId="0" applyFill="1" applyBorder="1"/>
    <xf numFmtId="0" fontId="6" fillId="2" borderId="13" xfId="0" applyFont="1" applyFill="1" applyBorder="1"/>
    <xf numFmtId="4" fontId="0" fillId="0" borderId="0" xfId="0" applyNumberFormat="1"/>
    <xf numFmtId="4" fontId="0" fillId="0" borderId="27" xfId="0" applyNumberFormat="1" applyBorder="1"/>
    <xf numFmtId="4" fontId="0" fillId="0" borderId="26" xfId="0" applyNumberFormat="1" applyBorder="1"/>
    <xf numFmtId="4" fontId="0" fillId="0" borderId="25" xfId="0" applyNumberFormat="1" applyBorder="1"/>
    <xf numFmtId="0" fontId="0" fillId="0" borderId="21" xfId="0" applyBorder="1"/>
    <xf numFmtId="0" fontId="0" fillId="0" borderId="14" xfId="0" applyBorder="1"/>
    <xf numFmtId="4" fontId="0" fillId="0" borderId="20" xfId="0" applyNumberFormat="1" applyBorder="1"/>
    <xf numFmtId="0" fontId="12" fillId="0" borderId="14" xfId="0" applyFont="1" applyBorder="1"/>
    <xf numFmtId="0" fontId="0" fillId="0" borderId="15" xfId="0" applyBorder="1"/>
    <xf numFmtId="0" fontId="0" fillId="0" borderId="37" xfId="0" applyBorder="1"/>
    <xf numFmtId="0" fontId="0" fillId="0" borderId="38" xfId="0" applyBorder="1"/>
    <xf numFmtId="0" fontId="0" fillId="0" borderId="44" xfId="0" applyBorder="1"/>
    <xf numFmtId="0" fontId="0" fillId="0" borderId="3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18" xfId="0" applyBorder="1"/>
    <xf numFmtId="0" fontId="0" fillId="0" borderId="18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2" fillId="0" borderId="0" xfId="0" applyFont="1" applyBorder="1"/>
    <xf numFmtId="0" fontId="0" fillId="0" borderId="3" xfId="0" applyBorder="1" applyAlignment="1">
      <alignment horizontal="center"/>
    </xf>
    <xf numFmtId="4" fontId="0" fillId="0" borderId="34" xfId="0" applyNumberFormat="1" applyBorder="1"/>
    <xf numFmtId="4" fontId="0" fillId="0" borderId="36" xfId="0" applyNumberFormat="1" applyBorder="1"/>
    <xf numFmtId="0" fontId="13" fillId="8" borderId="6" xfId="0" applyFont="1" applyFill="1" applyBorder="1"/>
    <xf numFmtId="0" fontId="0" fillId="7" borderId="0" xfId="0" applyFill="1"/>
    <xf numFmtId="2" fontId="0" fillId="0" borderId="0" xfId="0" applyNumberFormat="1"/>
    <xf numFmtId="4" fontId="14" fillId="3" borderId="0" xfId="0" applyNumberFormat="1" applyFont="1" applyFill="1"/>
    <xf numFmtId="0" fontId="0" fillId="7" borderId="21" xfId="0" applyFill="1" applyBorder="1"/>
    <xf numFmtId="0" fontId="0" fillId="0" borderId="0" xfId="0" applyBorder="1" applyAlignment="1">
      <alignment horizontal="right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28" xfId="0" applyFill="1" applyBorder="1"/>
    <xf numFmtId="0" fontId="0" fillId="2" borderId="0" xfId="0" applyFill="1" applyBorder="1"/>
    <xf numFmtId="0" fontId="0" fillId="2" borderId="33" xfId="0" applyFill="1" applyBorder="1"/>
    <xf numFmtId="0" fontId="0" fillId="2" borderId="27" xfId="0" applyFill="1" applyBorder="1"/>
    <xf numFmtId="0" fontId="0" fillId="2" borderId="25" xfId="0" applyFill="1" applyBorder="1"/>
    <xf numFmtId="0" fontId="0" fillId="2" borderId="31" xfId="0" applyFill="1" applyBorder="1"/>
    <xf numFmtId="0" fontId="0" fillId="2" borderId="16" xfId="0" applyFill="1" applyBorder="1"/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4" fontId="0" fillId="0" borderId="33" xfId="0" applyNumberFormat="1" applyBorder="1"/>
    <xf numFmtId="0" fontId="7" fillId="7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9" xfId="0" applyNumberFormat="1" applyBorder="1"/>
    <xf numFmtId="1" fontId="0" fillId="0" borderId="28" xfId="0" applyNumberFormat="1" applyBorder="1"/>
    <xf numFmtId="0" fontId="0" fillId="0" borderId="46" xfId="0" applyFill="1" applyBorder="1"/>
    <xf numFmtId="0" fontId="12" fillId="0" borderId="17" xfId="0" applyFont="1" applyBorder="1"/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7" xfId="0" applyFill="1" applyBorder="1"/>
    <xf numFmtId="0" fontId="0" fillId="0" borderId="48" xfId="0" applyFill="1" applyBorder="1"/>
    <xf numFmtId="0" fontId="12" fillId="0" borderId="13" xfId="0" applyFont="1" applyBorder="1"/>
    <xf numFmtId="0" fontId="0" fillId="0" borderId="4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7" borderId="26" xfId="0" applyFill="1" applyBorder="1"/>
    <xf numFmtId="0" fontId="0" fillId="2" borderId="0" xfId="0" applyFill="1"/>
    <xf numFmtId="2" fontId="0" fillId="2" borderId="0" xfId="0" applyNumberFormat="1" applyFill="1"/>
    <xf numFmtId="0" fontId="0" fillId="2" borderId="17" xfId="0" applyFill="1" applyBorder="1"/>
    <xf numFmtId="164" fontId="0" fillId="0" borderId="26" xfId="0" applyNumberForma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1" xfId="0" applyFont="1" applyBorder="1"/>
    <xf numFmtId="0" fontId="22" fillId="0" borderId="38" xfId="0" applyFont="1" applyBorder="1"/>
    <xf numFmtId="0" fontId="22" fillId="0" borderId="52" xfId="0" applyFont="1" applyBorder="1"/>
    <xf numFmtId="0" fontId="22" fillId="0" borderId="41" xfId="0" applyFont="1" applyBorder="1"/>
    <xf numFmtId="0" fontId="22" fillId="0" borderId="39" xfId="0" applyFont="1" applyBorder="1"/>
    <xf numFmtId="0" fontId="22" fillId="0" borderId="6" xfId="0" applyFont="1" applyBorder="1" applyAlignment="1">
      <alignment horizontal="center"/>
    </xf>
    <xf numFmtId="0" fontId="17" fillId="0" borderId="4" xfId="0" applyFont="1" applyBorder="1"/>
    <xf numFmtId="0" fontId="17" fillId="0" borderId="1" xfId="0" applyFont="1" applyBorder="1"/>
    <xf numFmtId="0" fontId="17" fillId="0" borderId="6" xfId="0" applyFont="1" applyBorder="1"/>
    <xf numFmtId="0" fontId="22" fillId="0" borderId="40" xfId="0" applyFont="1" applyBorder="1"/>
    <xf numFmtId="0" fontId="22" fillId="0" borderId="37" xfId="0" applyFont="1" applyBorder="1"/>
    <xf numFmtId="0" fontId="17" fillId="0" borderId="5" xfId="0" applyFont="1" applyBorder="1"/>
    <xf numFmtId="0" fontId="22" fillId="0" borderId="5" xfId="0" applyFont="1" applyBorder="1" applyAlignment="1">
      <alignment horizontal="center"/>
    </xf>
    <xf numFmtId="0" fontId="22" fillId="0" borderId="42" xfId="0" applyFont="1" applyBorder="1"/>
    <xf numFmtId="0" fontId="22" fillId="0" borderId="56" xfId="0" applyFont="1" applyBorder="1"/>
    <xf numFmtId="0" fontId="22" fillId="0" borderId="44" xfId="0" applyFont="1" applyBorder="1"/>
    <xf numFmtId="0" fontId="17" fillId="0" borderId="2" xfId="0" applyFont="1" applyBorder="1"/>
    <xf numFmtId="0" fontId="22" fillId="0" borderId="2" xfId="0" applyFont="1" applyBorder="1" applyAlignment="1">
      <alignment horizontal="center"/>
    </xf>
    <xf numFmtId="0" fontId="22" fillId="0" borderId="31" xfId="0" applyFont="1" applyBorder="1"/>
    <xf numFmtId="2" fontId="0" fillId="9" borderId="0" xfId="0" applyNumberFormat="1" applyFill="1"/>
    <xf numFmtId="0" fontId="24" fillId="5" borderId="21" xfId="0" applyFont="1" applyFill="1" applyBorder="1" applyAlignment="1">
      <alignment horizontal="center" vertical="center"/>
    </xf>
    <xf numFmtId="0" fontId="24" fillId="5" borderId="20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left" vertical="top"/>
    </xf>
    <xf numFmtId="0" fontId="22" fillId="0" borderId="19" xfId="0" applyFont="1" applyBorder="1" applyAlignment="1">
      <alignment vertical="top"/>
    </xf>
    <xf numFmtId="0" fontId="17" fillId="0" borderId="49" xfId="0" applyFont="1" applyBorder="1" applyAlignment="1">
      <alignment vertical="top"/>
    </xf>
    <xf numFmtId="0" fontId="22" fillId="0" borderId="49" xfId="0" applyFont="1" applyBorder="1" applyAlignment="1">
      <alignment horizontal="center" vertical="top"/>
    </xf>
    <xf numFmtId="0" fontId="10" fillId="0" borderId="13" xfId="0" applyFont="1" applyBorder="1" applyAlignment="1" applyProtection="1">
      <alignment vertical="top" wrapText="1"/>
      <protection locked="0"/>
    </xf>
    <xf numFmtId="0" fontId="14" fillId="8" borderId="2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3" xfId="0" applyBorder="1" applyProtection="1"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0" fillId="0" borderId="28" xfId="0" applyBorder="1" applyProtection="1"/>
    <xf numFmtId="0" fontId="0" fillId="0" borderId="0" xfId="0" applyBorder="1" applyProtection="1"/>
    <xf numFmtId="0" fontId="14" fillId="0" borderId="0" xfId="0" applyFont="1" applyBorder="1" applyProtection="1"/>
    <xf numFmtId="0" fontId="19" fillId="0" borderId="13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top"/>
    </xf>
    <xf numFmtId="0" fontId="16" fillId="0" borderId="31" xfId="0" applyFont="1" applyBorder="1" applyAlignment="1" applyProtection="1">
      <alignment horizontal="center" vertical="top" wrapText="1"/>
    </xf>
    <xf numFmtId="0" fontId="16" fillId="0" borderId="13" xfId="0" applyFont="1" applyBorder="1" applyAlignment="1" applyProtection="1">
      <alignment horizontal="center" vertical="top" wrapText="1"/>
    </xf>
    <xf numFmtId="0" fontId="16" fillId="0" borderId="16" xfId="0" applyFont="1" applyBorder="1" applyAlignment="1" applyProtection="1">
      <alignment horizontal="center" vertical="top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14" fillId="10" borderId="9" xfId="0" applyFont="1" applyFill="1" applyBorder="1" applyAlignment="1" applyProtection="1">
      <alignment horizontal="center" vertical="center"/>
    </xf>
    <xf numFmtId="0" fontId="14" fillId="10" borderId="17" xfId="0" applyFont="1" applyFill="1" applyBorder="1" applyAlignment="1" applyProtection="1">
      <alignment horizontal="center" vertical="center"/>
    </xf>
    <xf numFmtId="0" fontId="3" fillId="0" borderId="0" xfId="1" applyAlignment="1" applyProtection="1">
      <alignment horizontal="left"/>
      <protection locked="0"/>
    </xf>
    <xf numFmtId="0" fontId="7" fillId="0" borderId="1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4" fillId="10" borderId="22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top"/>
      <protection locked="0"/>
    </xf>
    <xf numFmtId="0" fontId="0" fillId="0" borderId="0" xfId="0" applyFill="1" applyBorder="1"/>
    <xf numFmtId="0" fontId="27" fillId="0" borderId="0" xfId="0" applyFont="1" applyProtection="1"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protection locked="0"/>
    </xf>
    <xf numFmtId="0" fontId="0" fillId="0" borderId="31" xfId="0" applyBorder="1" applyProtection="1"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28" xfId="0" applyFont="1" applyBorder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0" fontId="29" fillId="0" borderId="33" xfId="0" applyFont="1" applyBorder="1" applyAlignment="1" applyProtection="1">
      <alignment horizontal="right"/>
      <protection locked="0"/>
    </xf>
    <xf numFmtId="0" fontId="17" fillId="0" borderId="33" xfId="0" applyFont="1" applyBorder="1" applyAlignment="1" applyProtection="1">
      <alignment horizontal="right"/>
      <protection locked="0"/>
    </xf>
    <xf numFmtId="3" fontId="13" fillId="8" borderId="5" xfId="0" applyNumberFormat="1" applyFont="1" applyFill="1" applyBorder="1"/>
    <xf numFmtId="0" fontId="24" fillId="5" borderId="32" xfId="0" applyFont="1" applyFill="1" applyBorder="1" applyAlignment="1">
      <alignment horizontal="center" vertical="center"/>
    </xf>
    <xf numFmtId="0" fontId="24" fillId="0" borderId="0" xfId="0" applyFont="1"/>
    <xf numFmtId="3" fontId="24" fillId="0" borderId="29" xfId="0" applyNumberFormat="1" applyFont="1" applyBorder="1"/>
    <xf numFmtId="3" fontId="24" fillId="0" borderId="8" xfId="0" applyNumberFormat="1" applyFont="1" applyBorder="1"/>
    <xf numFmtId="3" fontId="24" fillId="0" borderId="61" xfId="0" applyNumberFormat="1" applyFont="1" applyBorder="1"/>
    <xf numFmtId="3" fontId="24" fillId="0" borderId="7" xfId="0" applyNumberFormat="1" applyFont="1" applyBorder="1"/>
    <xf numFmtId="3" fontId="24" fillId="0" borderId="62" xfId="0" applyNumberFormat="1" applyFont="1" applyBorder="1"/>
    <xf numFmtId="3" fontId="24" fillId="0" borderId="63" xfId="0" applyNumberFormat="1" applyFont="1" applyBorder="1" applyAlignment="1">
      <alignment vertical="top"/>
    </xf>
    <xf numFmtId="0" fontId="24" fillId="12" borderId="20" xfId="0" applyFont="1" applyFill="1" applyBorder="1" applyAlignment="1">
      <alignment horizontal="center" vertical="center" wrapText="1"/>
    </xf>
    <xf numFmtId="9" fontId="22" fillId="8" borderId="0" xfId="0" applyNumberFormat="1" applyFont="1" applyFill="1" applyAlignment="1" applyProtection="1">
      <alignment horizontal="center" vertical="center"/>
      <protection locked="0"/>
    </xf>
    <xf numFmtId="0" fontId="22" fillId="0" borderId="40" xfId="0" applyFont="1" applyBorder="1" applyProtection="1">
      <protection hidden="1"/>
    </xf>
    <xf numFmtId="0" fontId="22" fillId="0" borderId="41" xfId="0" applyFont="1" applyBorder="1" applyProtection="1">
      <protection hidden="1"/>
    </xf>
    <xf numFmtId="0" fontId="22" fillId="0" borderId="42" xfId="0" applyFont="1" applyBorder="1" applyProtection="1">
      <protection hidden="1"/>
    </xf>
    <xf numFmtId="0" fontId="22" fillId="0" borderId="25" xfId="0" applyFont="1" applyBorder="1" applyAlignment="1" applyProtection="1">
      <alignment vertical="top"/>
      <protection hidden="1"/>
    </xf>
    <xf numFmtId="0" fontId="7" fillId="0" borderId="2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8" fillId="6" borderId="2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1" xfId="0" applyFont="1" applyFill="1" applyBorder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4" fontId="15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3" xfId="0" applyFont="1" applyFill="1" applyBorder="1" applyAlignment="1" applyProtection="1">
      <alignment horizontal="center"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 wrapText="1"/>
      <protection hidden="1"/>
    </xf>
    <xf numFmtId="2" fontId="0" fillId="4" borderId="8" xfId="0" applyNumberFormat="1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3" fillId="10" borderId="0" xfId="0" applyFont="1" applyFill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4" fillId="10" borderId="32" xfId="0" applyFont="1" applyFill="1" applyBorder="1" applyAlignment="1" applyProtection="1">
      <alignment horizontal="center" vertical="center"/>
    </xf>
    <xf numFmtId="0" fontId="14" fillId="10" borderId="18" xfId="0" applyFont="1" applyFill="1" applyBorder="1" applyAlignment="1" applyProtection="1">
      <alignment horizontal="center" vertical="center"/>
    </xf>
    <xf numFmtId="0" fontId="14" fillId="10" borderId="32" xfId="0" applyFont="1" applyFill="1" applyBorder="1" applyAlignment="1" applyProtection="1">
      <alignment horizontal="center" vertical="center" wrapText="1"/>
    </xf>
    <xf numFmtId="0" fontId="14" fillId="10" borderId="15" xfId="0" applyFont="1" applyFill="1" applyBorder="1" applyAlignment="1" applyProtection="1">
      <alignment horizontal="center" vertical="center" wrapText="1"/>
    </xf>
    <xf numFmtId="0" fontId="14" fillId="10" borderId="55" xfId="0" applyFont="1" applyFill="1" applyBorder="1" applyAlignment="1" applyProtection="1">
      <alignment horizontal="center" vertical="center"/>
    </xf>
    <xf numFmtId="0" fontId="14" fillId="10" borderId="12" xfId="0" applyFont="1" applyFill="1" applyBorder="1" applyAlignment="1" applyProtection="1">
      <alignment horizontal="center" vertical="center"/>
    </xf>
    <xf numFmtId="0" fontId="14" fillId="10" borderId="14" xfId="0" applyFont="1" applyFill="1" applyBorder="1" applyAlignment="1" applyProtection="1">
      <alignment horizontal="center" vertical="center"/>
    </xf>
    <xf numFmtId="0" fontId="18" fillId="10" borderId="9" xfId="0" applyFont="1" applyFill="1" applyBorder="1" applyAlignment="1" applyProtection="1">
      <alignment horizontal="center" vertical="center"/>
    </xf>
    <xf numFmtId="0" fontId="18" fillId="10" borderId="17" xfId="0" applyFont="1" applyFill="1" applyBorder="1" applyAlignment="1" applyProtection="1">
      <alignment horizontal="center" vertical="center"/>
    </xf>
    <xf numFmtId="0" fontId="18" fillId="10" borderId="22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top" wrapText="1"/>
      <protection hidden="1"/>
    </xf>
    <xf numFmtId="0" fontId="19" fillId="0" borderId="33" xfId="0" applyFont="1" applyBorder="1" applyAlignment="1" applyProtection="1">
      <alignment horizontal="left" vertical="top" wrapText="1"/>
      <protection hidden="1"/>
    </xf>
    <xf numFmtId="0" fontId="18" fillId="10" borderId="9" xfId="0" applyFont="1" applyFill="1" applyBorder="1" applyAlignment="1" applyProtection="1">
      <alignment horizontal="center" vertical="center" wrapText="1"/>
      <protection locked="0"/>
    </xf>
    <xf numFmtId="0" fontId="18" fillId="10" borderId="17" xfId="0" applyFont="1" applyFill="1" applyBorder="1" applyAlignment="1" applyProtection="1">
      <alignment horizontal="center" vertical="center"/>
      <protection locked="0"/>
    </xf>
    <xf numFmtId="0" fontId="18" fillId="10" borderId="2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14" fillId="10" borderId="21" xfId="0" applyFont="1" applyFill="1" applyBorder="1" applyAlignment="1" applyProtection="1">
      <alignment horizontal="center" vertical="center"/>
    </xf>
    <xf numFmtId="0" fontId="14" fillId="10" borderId="15" xfId="0" applyFont="1" applyFill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4" xfId="0" applyFont="1" applyBorder="1" applyAlignment="1" applyProtection="1">
      <alignment horizontal="center"/>
      <protection hidden="1"/>
    </xf>
    <xf numFmtId="2" fontId="2" fillId="0" borderId="6" xfId="0" applyNumberFormat="1" applyFont="1" applyBorder="1" applyAlignment="1" applyProtection="1">
      <alignment horizontal="center"/>
      <protection hidden="1"/>
    </xf>
    <xf numFmtId="2" fontId="2" fillId="0" borderId="36" xfId="0" applyNumberFormat="1" applyFont="1" applyBorder="1" applyAlignment="1" applyProtection="1">
      <alignment horizontal="center"/>
      <protection hidden="1"/>
    </xf>
    <xf numFmtId="0" fontId="2" fillId="0" borderId="53" xfId="0" applyFont="1" applyBorder="1" applyAlignment="1" applyProtection="1">
      <alignment horizontal="left" indent="3"/>
    </xf>
    <xf numFmtId="0" fontId="2" fillId="0" borderId="50" xfId="0" applyFont="1" applyBorder="1" applyAlignment="1" applyProtection="1">
      <alignment horizontal="left" indent="3"/>
    </xf>
    <xf numFmtId="0" fontId="2" fillId="0" borderId="51" xfId="0" applyFont="1" applyBorder="1" applyAlignment="1" applyProtection="1">
      <alignment horizontal="left" indent="3"/>
    </xf>
    <xf numFmtId="0" fontId="1" fillId="0" borderId="11" xfId="0" applyFont="1" applyBorder="1" applyAlignment="1" applyProtection="1">
      <alignment horizontal="left" indent="3"/>
    </xf>
    <xf numFmtId="0" fontId="2" fillId="0" borderId="60" xfId="0" applyFont="1" applyBorder="1" applyAlignment="1" applyProtection="1">
      <alignment horizontal="left" indent="3"/>
    </xf>
    <xf numFmtId="0" fontId="2" fillId="0" borderId="39" xfId="0" applyFont="1" applyBorder="1" applyAlignment="1" applyProtection="1">
      <alignment horizontal="left" indent="3"/>
    </xf>
    <xf numFmtId="0" fontId="3" fillId="0" borderId="0" xfId="1" applyAlignment="1" applyProtection="1">
      <alignment horizontal="left"/>
      <protection locked="0"/>
    </xf>
    <xf numFmtId="0" fontId="26" fillId="10" borderId="28" xfId="1" applyFont="1" applyFill="1" applyBorder="1" applyAlignment="1" applyProtection="1">
      <alignment horizontal="center" vertical="center" wrapText="1"/>
    </xf>
    <xf numFmtId="0" fontId="26" fillId="10" borderId="0" xfId="1" applyFont="1" applyFill="1" applyBorder="1" applyAlignment="1" applyProtection="1">
      <alignment horizontal="center" vertical="center"/>
    </xf>
    <xf numFmtId="0" fontId="26" fillId="10" borderId="31" xfId="1" applyFont="1" applyFill="1" applyBorder="1" applyAlignment="1" applyProtection="1">
      <alignment horizontal="center" vertical="center"/>
    </xf>
    <xf numFmtId="0" fontId="26" fillId="10" borderId="13" xfId="1" applyFont="1" applyFill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25" fillId="0" borderId="0" xfId="0" applyFont="1" applyBorder="1" applyAlignment="1" applyProtection="1">
      <alignment horizontal="left" vertical="top" wrapText="1"/>
      <protection hidden="1"/>
    </xf>
    <xf numFmtId="0" fontId="25" fillId="0" borderId="33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center" indent="3"/>
      <protection locked="0"/>
    </xf>
    <xf numFmtId="4" fontId="14" fillId="0" borderId="4" xfId="0" applyNumberFormat="1" applyFont="1" applyBorder="1" applyAlignment="1" applyProtection="1">
      <alignment horizontal="center" vertical="center"/>
      <protection hidden="1"/>
    </xf>
    <xf numFmtId="4" fontId="14" fillId="0" borderId="6" xfId="0" applyNumberFormat="1" applyFont="1" applyBorder="1" applyAlignment="1" applyProtection="1">
      <alignment horizontal="center" vertical="center"/>
      <protection hidden="1"/>
    </xf>
    <xf numFmtId="4" fontId="18" fillId="11" borderId="6" xfId="0" applyNumberFormat="1" applyFont="1" applyFill="1" applyBorder="1" applyAlignment="1" applyProtection="1">
      <alignment horizontal="center" vertical="center"/>
      <protection hidden="1"/>
    </xf>
    <xf numFmtId="4" fontId="18" fillId="11" borderId="36" xfId="0" applyNumberFormat="1" applyFont="1" applyFill="1" applyBorder="1" applyAlignment="1" applyProtection="1">
      <alignment horizontal="center" vertical="center"/>
      <protection hidden="1"/>
    </xf>
    <xf numFmtId="9" fontId="18" fillId="8" borderId="29" xfId="0" applyNumberFormat="1" applyFont="1" applyFill="1" applyBorder="1" applyAlignment="1" applyProtection="1">
      <alignment horizontal="center" vertical="center"/>
      <protection locked="0"/>
    </xf>
    <xf numFmtId="9" fontId="18" fillId="8" borderId="58" xfId="0" applyNumberFormat="1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46"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fmlaLink="$B$17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firstButton="1" fmlaLink="$H$10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firstButton="1" fmlaLink="$B$24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firstButton="1" fmlaLink="$H$24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Radio" checked="Checked" firstButton="1" fmlaLink="$N$24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firstButton="1" fmlaLink="$B$18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$T$12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D$27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fmlaLink="$H$27" lockText="1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Radio" checked="Checked" firstButton="1" fmlaLink="$N$27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1.png"/><Relationship Id="rId18" Type="http://schemas.openxmlformats.org/officeDocument/2006/relationships/image" Target="../media/image24.png"/><Relationship Id="rId3" Type="http://schemas.openxmlformats.org/officeDocument/2006/relationships/image" Target="../media/image13.png"/><Relationship Id="rId21" Type="http://schemas.openxmlformats.org/officeDocument/2006/relationships/image" Target="../media/image26.png"/><Relationship Id="rId7" Type="http://schemas.openxmlformats.org/officeDocument/2006/relationships/image" Target="../media/image4.png"/><Relationship Id="rId12" Type="http://schemas.microsoft.com/office/2007/relationships/hdphoto" Target="../media/hdphoto1.wdp"/><Relationship Id="rId17" Type="http://schemas.openxmlformats.org/officeDocument/2006/relationships/image" Target="../media/image23.png"/><Relationship Id="rId2" Type="http://schemas.openxmlformats.org/officeDocument/2006/relationships/image" Target="../media/image12.png"/><Relationship Id="rId16" Type="http://schemas.microsoft.com/office/2007/relationships/hdphoto" Target="../media/hdphoto3.wdp"/><Relationship Id="rId20" Type="http://schemas.microsoft.com/office/2007/relationships/hdphoto" Target="../media/hdphoto4.wdp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0.png"/><Relationship Id="rId24" Type="http://schemas.openxmlformats.org/officeDocument/2006/relationships/image" Target="../media/image28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23" Type="http://schemas.openxmlformats.org/officeDocument/2006/relationships/image" Target="../media/image27.png"/><Relationship Id="rId10" Type="http://schemas.openxmlformats.org/officeDocument/2006/relationships/image" Target="../media/image19.png"/><Relationship Id="rId19" Type="http://schemas.openxmlformats.org/officeDocument/2006/relationships/image" Target="../media/image25.png"/><Relationship Id="rId4" Type="http://schemas.openxmlformats.org/officeDocument/2006/relationships/image" Target="../media/image14.png"/><Relationship Id="rId9" Type="http://schemas.openxmlformats.org/officeDocument/2006/relationships/image" Target="../media/image18.png"/><Relationship Id="rId14" Type="http://schemas.microsoft.com/office/2007/relationships/hdphoto" Target="../media/hdphoto2.wdp"/><Relationship Id="rId22" Type="http://schemas.microsoft.com/office/2007/relationships/hdphoto" Target="../media/hdphoto5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1.png"/><Relationship Id="rId7" Type="http://schemas.openxmlformats.org/officeDocument/2006/relationships/image" Target="../media/image34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3.png"/><Relationship Id="rId11" Type="http://schemas.openxmlformats.org/officeDocument/2006/relationships/image" Target="../media/image38.png"/><Relationship Id="rId5" Type="http://schemas.openxmlformats.org/officeDocument/2006/relationships/image" Target="../media/image23.png"/><Relationship Id="rId10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645160</xdr:colOff>
      <xdr:row>0</xdr:row>
      <xdr:rowOff>23707</xdr:rowOff>
    </xdr:from>
    <xdr:to>
      <xdr:col>11</xdr:col>
      <xdr:colOff>597659</xdr:colOff>
      <xdr:row>2</xdr:row>
      <xdr:rowOff>154478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23707"/>
          <a:ext cx="4863166" cy="520238"/>
        </a:xfrm>
        <a:prstGeom prst="rect">
          <a:avLst/>
        </a:prstGeom>
      </xdr:spPr>
    </xdr:pic>
    <xdr:clientData/>
  </xdr:twoCellAnchor>
  <xdr:twoCellAnchor editAs="oneCell">
    <xdr:from>
      <xdr:col>3</xdr:col>
      <xdr:colOff>68581</xdr:colOff>
      <xdr:row>14</xdr:row>
      <xdr:rowOff>60960</xdr:rowOff>
    </xdr:from>
    <xdr:to>
      <xdr:col>3</xdr:col>
      <xdr:colOff>558801</xdr:colOff>
      <xdr:row>14</xdr:row>
      <xdr:rowOff>517603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1" y="4387427"/>
          <a:ext cx="490220" cy="456643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14</xdr:row>
      <xdr:rowOff>60960</xdr:rowOff>
    </xdr:from>
    <xdr:to>
      <xdr:col>5</xdr:col>
      <xdr:colOff>568873</xdr:colOff>
      <xdr:row>14</xdr:row>
      <xdr:rowOff>517603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847" y="4387427"/>
          <a:ext cx="500293" cy="456643"/>
        </a:xfrm>
        <a:prstGeom prst="rect">
          <a:avLst/>
        </a:prstGeom>
      </xdr:spPr>
    </xdr:pic>
    <xdr:clientData/>
  </xdr:twoCellAnchor>
  <xdr:twoCellAnchor editAs="oneCell">
    <xdr:from>
      <xdr:col>7</xdr:col>
      <xdr:colOff>68581</xdr:colOff>
      <xdr:row>14</xdr:row>
      <xdr:rowOff>60960</xdr:rowOff>
    </xdr:from>
    <xdr:to>
      <xdr:col>7</xdr:col>
      <xdr:colOff>558801</xdr:colOff>
      <xdr:row>14</xdr:row>
      <xdr:rowOff>517603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6514" y="4387427"/>
          <a:ext cx="490220" cy="456643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</xdr:colOff>
      <xdr:row>14</xdr:row>
      <xdr:rowOff>60960</xdr:rowOff>
    </xdr:from>
    <xdr:to>
      <xdr:col>9</xdr:col>
      <xdr:colOff>555443</xdr:colOff>
      <xdr:row>14</xdr:row>
      <xdr:rowOff>517604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34180" y="4387427"/>
          <a:ext cx="486863" cy="456644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</xdr:colOff>
      <xdr:row>14</xdr:row>
      <xdr:rowOff>60960</xdr:rowOff>
    </xdr:from>
    <xdr:to>
      <xdr:col>11</xdr:col>
      <xdr:colOff>555443</xdr:colOff>
      <xdr:row>14</xdr:row>
      <xdr:rowOff>517604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1847" y="4387427"/>
          <a:ext cx="486863" cy="456644"/>
        </a:xfrm>
        <a:prstGeom prst="rect">
          <a:avLst/>
        </a:prstGeom>
      </xdr:spPr>
    </xdr:pic>
    <xdr:clientData/>
  </xdr:twoCellAnchor>
  <xdr:twoCellAnchor editAs="oneCell">
    <xdr:from>
      <xdr:col>13</xdr:col>
      <xdr:colOff>68580</xdr:colOff>
      <xdr:row>14</xdr:row>
      <xdr:rowOff>60960</xdr:rowOff>
    </xdr:from>
    <xdr:to>
      <xdr:col>13</xdr:col>
      <xdr:colOff>552085</xdr:colOff>
      <xdr:row>14</xdr:row>
      <xdr:rowOff>520961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89513" y="4387427"/>
          <a:ext cx="483505" cy="4600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15</xdr:row>
          <xdr:rowOff>47625</xdr:rowOff>
        </xdr:from>
        <xdr:to>
          <xdr:col>3</xdr:col>
          <xdr:colOff>933450</xdr:colOff>
          <xdr:row>16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21</xdr:col>
          <xdr:colOff>0</xdr:colOff>
          <xdr:row>18</xdr:row>
          <xdr:rowOff>0</xdr:rowOff>
        </xdr:to>
        <xdr:sp macro="" textlink="">
          <xdr:nvSpPr>
            <xdr:cNvPr id="4119" name="Group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19</xdr:row>
          <xdr:rowOff>0</xdr:rowOff>
        </xdr:from>
        <xdr:to>
          <xdr:col>7</xdr:col>
          <xdr:colOff>0</xdr:colOff>
          <xdr:row>24</xdr:row>
          <xdr:rowOff>133350</xdr:rowOff>
        </xdr:to>
        <xdr:sp macro="" textlink="">
          <xdr:nvSpPr>
            <xdr:cNvPr id="4120" name="Group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1009650</xdr:colOff>
          <xdr:row>19</xdr:row>
          <xdr:rowOff>0</xdr:rowOff>
        </xdr:from>
        <xdr:to>
          <xdr:col>13</xdr:col>
          <xdr:colOff>0</xdr:colOff>
          <xdr:row>24</xdr:row>
          <xdr:rowOff>133350</xdr:rowOff>
        </xdr:to>
        <xdr:sp macro="" textlink="">
          <xdr:nvSpPr>
            <xdr:cNvPr id="4121" name="Group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19</xdr:row>
          <xdr:rowOff>0</xdr:rowOff>
        </xdr:from>
        <xdr:to>
          <xdr:col>19</xdr:col>
          <xdr:colOff>0</xdr:colOff>
          <xdr:row>24</xdr:row>
          <xdr:rowOff>133350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26</a:t>
              </a:r>
            </a:p>
          </xdr:txBody>
        </xdr:sp>
        <xdr:clientData/>
      </xdr:twoCellAnchor>
    </mc:Choice>
    <mc:Fallback/>
  </mc:AlternateContent>
  <xdr:twoCellAnchor editAs="oneCell">
    <xdr:from>
      <xdr:col>17</xdr:col>
      <xdr:colOff>55035</xdr:colOff>
      <xdr:row>6</xdr:row>
      <xdr:rowOff>8468</xdr:rowOff>
    </xdr:from>
    <xdr:to>
      <xdr:col>17</xdr:col>
      <xdr:colOff>969434</xdr:colOff>
      <xdr:row>7</xdr:row>
      <xdr:rowOff>360517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22960" y="1227668"/>
          <a:ext cx="914399" cy="7616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1009650</xdr:colOff>
          <xdr:row>3</xdr:row>
          <xdr:rowOff>76200</xdr:rowOff>
        </xdr:from>
        <xdr:to>
          <xdr:col>21</xdr:col>
          <xdr:colOff>0</xdr:colOff>
          <xdr:row>7</xdr:row>
          <xdr:rowOff>971550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1009650</xdr:colOff>
          <xdr:row>3</xdr:row>
          <xdr:rowOff>76200</xdr:rowOff>
        </xdr:from>
        <xdr:to>
          <xdr:col>15</xdr:col>
          <xdr:colOff>0</xdr:colOff>
          <xdr:row>7</xdr:row>
          <xdr:rowOff>971550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Окно группы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15</xdr:row>
          <xdr:rowOff>47625</xdr:rowOff>
        </xdr:from>
        <xdr:to>
          <xdr:col>5</xdr:col>
          <xdr:colOff>933450</xdr:colOff>
          <xdr:row>16</xdr:row>
          <xdr:rowOff>38100</xdr:rowOff>
        </xdr:to>
        <xdr:sp macro="" textlink="">
          <xdr:nvSpPr>
            <xdr:cNvPr id="4125" name="Option Button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15</xdr:row>
          <xdr:rowOff>47625</xdr:rowOff>
        </xdr:from>
        <xdr:to>
          <xdr:col>7</xdr:col>
          <xdr:colOff>933450</xdr:colOff>
          <xdr:row>16</xdr:row>
          <xdr:rowOff>38100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15</xdr:row>
          <xdr:rowOff>47625</xdr:rowOff>
        </xdr:from>
        <xdr:to>
          <xdr:col>9</xdr:col>
          <xdr:colOff>933450</xdr:colOff>
          <xdr:row>16</xdr:row>
          <xdr:rowOff>38100</xdr:rowOff>
        </xdr:to>
        <xdr:sp macro="" textlink="">
          <xdr:nvSpPr>
            <xdr:cNvPr id="4127" name="Option Button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15</xdr:row>
          <xdr:rowOff>47625</xdr:rowOff>
        </xdr:from>
        <xdr:to>
          <xdr:col>11</xdr:col>
          <xdr:colOff>933450</xdr:colOff>
          <xdr:row>16</xdr:row>
          <xdr:rowOff>38100</xdr:rowOff>
        </xdr:to>
        <xdr:sp macro="" textlink="">
          <xdr:nvSpPr>
            <xdr:cNvPr id="4128" name="Option Button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15</xdr:row>
          <xdr:rowOff>47625</xdr:rowOff>
        </xdr:from>
        <xdr:to>
          <xdr:col>13</xdr:col>
          <xdr:colOff>933450</xdr:colOff>
          <xdr:row>16</xdr:row>
          <xdr:rowOff>38100</xdr:rowOff>
        </xdr:to>
        <xdr:sp macro="" textlink="">
          <xdr:nvSpPr>
            <xdr:cNvPr id="4129" name="Option Button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15</xdr:row>
          <xdr:rowOff>47625</xdr:rowOff>
        </xdr:from>
        <xdr:to>
          <xdr:col>15</xdr:col>
          <xdr:colOff>933450</xdr:colOff>
          <xdr:row>16</xdr:row>
          <xdr:rowOff>38100</xdr:rowOff>
        </xdr:to>
        <xdr:sp macro="" textlink="">
          <xdr:nvSpPr>
            <xdr:cNvPr id="4130" name="Option Button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15</xdr:row>
          <xdr:rowOff>47625</xdr:rowOff>
        </xdr:from>
        <xdr:to>
          <xdr:col>17</xdr:col>
          <xdr:colOff>933450</xdr:colOff>
          <xdr:row>16</xdr:row>
          <xdr:rowOff>38100</xdr:rowOff>
        </xdr:to>
        <xdr:sp macro="" textlink="">
          <xdr:nvSpPr>
            <xdr:cNvPr id="4131" name="Option Button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15</xdr:row>
          <xdr:rowOff>47625</xdr:rowOff>
        </xdr:from>
        <xdr:to>
          <xdr:col>19</xdr:col>
          <xdr:colOff>933450</xdr:colOff>
          <xdr:row>16</xdr:row>
          <xdr:rowOff>38100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</xdr:row>
          <xdr:rowOff>19050</xdr:rowOff>
        </xdr:from>
        <xdr:to>
          <xdr:col>10</xdr:col>
          <xdr:colOff>171450</xdr:colOff>
          <xdr:row>9</xdr:row>
          <xdr:rowOff>57150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8</xdr:row>
          <xdr:rowOff>19050</xdr:rowOff>
        </xdr:from>
        <xdr:to>
          <xdr:col>13</xdr:col>
          <xdr:colOff>942975</xdr:colOff>
          <xdr:row>9</xdr:row>
          <xdr:rowOff>57150</xdr:rowOff>
        </xdr:to>
        <xdr:sp macro="" textlink="">
          <xdr:nvSpPr>
            <xdr:cNvPr id="4135" name="Option Button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28575</xdr:rowOff>
        </xdr:from>
        <xdr:to>
          <xdr:col>17</xdr:col>
          <xdr:colOff>990600</xdr:colOff>
          <xdr:row>10</xdr:row>
          <xdr:rowOff>0</xdr:rowOff>
        </xdr:to>
        <xdr:sp macro="" textlink="">
          <xdr:nvSpPr>
            <xdr:cNvPr id="4136" name="Option Button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28575</xdr:rowOff>
        </xdr:from>
        <xdr:to>
          <xdr:col>19</xdr:col>
          <xdr:colOff>1009650</xdr:colOff>
          <xdr:row>10</xdr:row>
          <xdr:rowOff>0</xdr:rowOff>
        </xdr:to>
        <xdr:sp macro="" textlink="">
          <xdr:nvSpPr>
            <xdr:cNvPr id="4137" name="Option Button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400050</xdr:rowOff>
        </xdr:from>
        <xdr:to>
          <xdr:col>3</xdr:col>
          <xdr:colOff>1000125</xdr:colOff>
          <xdr:row>22</xdr:row>
          <xdr:rowOff>323850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400050</xdr:rowOff>
        </xdr:from>
        <xdr:to>
          <xdr:col>5</xdr:col>
          <xdr:colOff>1000125</xdr:colOff>
          <xdr:row>22</xdr:row>
          <xdr:rowOff>323850</xdr:rowOff>
        </xdr:to>
        <xdr:sp macro="" textlink="">
          <xdr:nvSpPr>
            <xdr:cNvPr id="4140" name="Option Button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400050</xdr:rowOff>
        </xdr:from>
        <xdr:to>
          <xdr:col>9</xdr:col>
          <xdr:colOff>1000125</xdr:colOff>
          <xdr:row>22</xdr:row>
          <xdr:rowOff>323850</xdr:rowOff>
        </xdr:to>
        <xdr:sp macro="" textlink="">
          <xdr:nvSpPr>
            <xdr:cNvPr id="4141" name="Option Button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400050</xdr:rowOff>
        </xdr:from>
        <xdr:to>
          <xdr:col>11</xdr:col>
          <xdr:colOff>1000125</xdr:colOff>
          <xdr:row>22</xdr:row>
          <xdr:rowOff>323850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17</xdr:col>
          <xdr:colOff>1000125</xdr:colOff>
          <xdr:row>22</xdr:row>
          <xdr:rowOff>323850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15</xdr:col>
          <xdr:colOff>1000125</xdr:colOff>
          <xdr:row>22</xdr:row>
          <xdr:rowOff>323850</xdr:rowOff>
        </xdr:to>
        <xdr:sp macro="" textlink="">
          <xdr:nvSpPr>
            <xdr:cNvPr id="4145" name="Option Button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33867</xdr:colOff>
      <xdr:row>6</xdr:row>
      <xdr:rowOff>42334</xdr:rowOff>
    </xdr:from>
    <xdr:to>
      <xdr:col>10</xdr:col>
      <xdr:colOff>113105</xdr:colOff>
      <xdr:row>7</xdr:row>
      <xdr:rowOff>1389373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9467" y="1117601"/>
          <a:ext cx="1095238" cy="17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42333</xdr:colOff>
      <xdr:row>6</xdr:row>
      <xdr:rowOff>59267</xdr:rowOff>
    </xdr:from>
    <xdr:to>
      <xdr:col>13</xdr:col>
      <xdr:colOff>1002096</xdr:colOff>
      <xdr:row>7</xdr:row>
      <xdr:rowOff>1482496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51600" y="1134534"/>
          <a:ext cx="1171429" cy="1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15</xdr:row>
      <xdr:rowOff>7620</xdr:rowOff>
    </xdr:from>
    <xdr:to>
      <xdr:col>2</xdr:col>
      <xdr:colOff>548640</xdr:colOff>
      <xdr:row>15</xdr:row>
      <xdr:rowOff>464820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" y="346710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15</xdr:row>
      <xdr:rowOff>7620</xdr:rowOff>
    </xdr:from>
    <xdr:to>
      <xdr:col>4</xdr:col>
      <xdr:colOff>548640</xdr:colOff>
      <xdr:row>15</xdr:row>
      <xdr:rowOff>464820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</xdr:colOff>
      <xdr:row>15</xdr:row>
      <xdr:rowOff>7620</xdr:rowOff>
    </xdr:from>
    <xdr:to>
      <xdr:col>6</xdr:col>
      <xdr:colOff>548640</xdr:colOff>
      <xdr:row>15</xdr:row>
      <xdr:rowOff>464820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56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</xdr:colOff>
      <xdr:row>15</xdr:row>
      <xdr:rowOff>7620</xdr:rowOff>
    </xdr:from>
    <xdr:to>
      <xdr:col>8</xdr:col>
      <xdr:colOff>548640</xdr:colOff>
      <xdr:row>15</xdr:row>
      <xdr:rowOff>464820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843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99060</xdr:colOff>
      <xdr:row>15</xdr:row>
      <xdr:rowOff>7620</xdr:rowOff>
    </xdr:from>
    <xdr:to>
      <xdr:col>10</xdr:col>
      <xdr:colOff>548640</xdr:colOff>
      <xdr:row>15</xdr:row>
      <xdr:rowOff>464820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30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99060</xdr:colOff>
      <xdr:row>15</xdr:row>
      <xdr:rowOff>7620</xdr:rowOff>
    </xdr:from>
    <xdr:to>
      <xdr:col>14</xdr:col>
      <xdr:colOff>548640</xdr:colOff>
      <xdr:row>15</xdr:row>
      <xdr:rowOff>464820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417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16</xdr:col>
      <xdr:colOff>99060</xdr:colOff>
      <xdr:row>15</xdr:row>
      <xdr:rowOff>7620</xdr:rowOff>
    </xdr:from>
    <xdr:to>
      <xdr:col>16</xdr:col>
      <xdr:colOff>548640</xdr:colOff>
      <xdr:row>15</xdr:row>
      <xdr:rowOff>464820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04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18</xdr:col>
      <xdr:colOff>99060</xdr:colOff>
      <xdr:row>15</xdr:row>
      <xdr:rowOff>7620</xdr:rowOff>
    </xdr:from>
    <xdr:to>
      <xdr:col>18</xdr:col>
      <xdr:colOff>548640</xdr:colOff>
      <xdr:row>15</xdr:row>
      <xdr:rowOff>464820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99120" y="3215640"/>
          <a:ext cx="44958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563880</xdr:colOff>
      <xdr:row>4</xdr:row>
      <xdr:rowOff>114300</xdr:rowOff>
    </xdr:from>
    <xdr:to>
      <xdr:col>14</xdr:col>
      <xdr:colOff>383312</xdr:colOff>
      <xdr:row>9</xdr:row>
      <xdr:rowOff>144780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28360" y="960120"/>
          <a:ext cx="741452" cy="117348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60960</xdr:colOff>
      <xdr:row>4</xdr:row>
      <xdr:rowOff>83821</xdr:rowOff>
    </xdr:from>
    <xdr:to>
      <xdr:col>18</xdr:col>
      <xdr:colOff>594360</xdr:colOff>
      <xdr:row>9</xdr:row>
      <xdr:rowOff>102327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80020" y="784861"/>
          <a:ext cx="739140" cy="1161506"/>
        </a:xfrm>
        <a:prstGeom prst="rect">
          <a:avLst/>
        </a:prstGeom>
      </xdr:spPr>
    </xdr:pic>
    <xdr:clientData/>
  </xdr:twoCellAnchor>
  <xdr:twoCellAnchor editAs="oneCell">
    <xdr:from>
      <xdr:col>2</xdr:col>
      <xdr:colOff>65314</xdr:colOff>
      <xdr:row>22</xdr:row>
      <xdr:rowOff>111759</xdr:rowOff>
    </xdr:from>
    <xdr:to>
      <xdr:col>3</xdr:col>
      <xdr:colOff>178554</xdr:colOff>
      <xdr:row>25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3934" y="4874259"/>
          <a:ext cx="829520" cy="6959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16</xdr:row>
          <xdr:rowOff>19050</xdr:rowOff>
        </xdr:from>
        <xdr:to>
          <xdr:col>2</xdr:col>
          <xdr:colOff>542925</xdr:colOff>
          <xdr:row>16</xdr:row>
          <xdr:rowOff>180975</xdr:rowOff>
        </xdr:to>
        <xdr:sp macro="" textlink="">
          <xdr:nvSpPr>
            <xdr:cNvPr id="8251" name="Option Button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1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</xdr:row>
          <xdr:rowOff>19050</xdr:rowOff>
        </xdr:from>
        <xdr:to>
          <xdr:col>4</xdr:col>
          <xdr:colOff>542925</xdr:colOff>
          <xdr:row>16</xdr:row>
          <xdr:rowOff>180975</xdr:rowOff>
        </xdr:to>
        <xdr:sp macro="" textlink="">
          <xdr:nvSpPr>
            <xdr:cNvPr id="8259" name="Option Button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1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16</xdr:row>
          <xdr:rowOff>19050</xdr:rowOff>
        </xdr:from>
        <xdr:to>
          <xdr:col>6</xdr:col>
          <xdr:colOff>542925</xdr:colOff>
          <xdr:row>16</xdr:row>
          <xdr:rowOff>180975</xdr:rowOff>
        </xdr:to>
        <xdr:sp macro="" textlink="">
          <xdr:nvSpPr>
            <xdr:cNvPr id="8260" name="Option Button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1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16</xdr:row>
          <xdr:rowOff>19050</xdr:rowOff>
        </xdr:from>
        <xdr:to>
          <xdr:col>8</xdr:col>
          <xdr:colOff>542925</xdr:colOff>
          <xdr:row>16</xdr:row>
          <xdr:rowOff>180975</xdr:rowOff>
        </xdr:to>
        <xdr:sp macro="" textlink="">
          <xdr:nvSpPr>
            <xdr:cNvPr id="8261" name="Option Button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1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16</xdr:row>
          <xdr:rowOff>19050</xdr:rowOff>
        </xdr:from>
        <xdr:to>
          <xdr:col>10</xdr:col>
          <xdr:colOff>542925</xdr:colOff>
          <xdr:row>16</xdr:row>
          <xdr:rowOff>180975</xdr:rowOff>
        </xdr:to>
        <xdr:sp macro="" textlink="">
          <xdr:nvSpPr>
            <xdr:cNvPr id="8262" name="Option Button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1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16</xdr:row>
          <xdr:rowOff>19050</xdr:rowOff>
        </xdr:from>
        <xdr:to>
          <xdr:col>14</xdr:col>
          <xdr:colOff>542925</xdr:colOff>
          <xdr:row>16</xdr:row>
          <xdr:rowOff>180975</xdr:rowOff>
        </xdr:to>
        <xdr:sp macro="" textlink="">
          <xdr:nvSpPr>
            <xdr:cNvPr id="8263" name="Option Button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1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16</xdr:row>
          <xdr:rowOff>19050</xdr:rowOff>
        </xdr:from>
        <xdr:to>
          <xdr:col>16</xdr:col>
          <xdr:colOff>542925</xdr:colOff>
          <xdr:row>16</xdr:row>
          <xdr:rowOff>180975</xdr:rowOff>
        </xdr:to>
        <xdr:sp macro="" textlink="">
          <xdr:nvSpPr>
            <xdr:cNvPr id="8264" name="Option Button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1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19050</xdr:rowOff>
        </xdr:from>
        <xdr:to>
          <xdr:col>18</xdr:col>
          <xdr:colOff>542925</xdr:colOff>
          <xdr:row>16</xdr:row>
          <xdr:rowOff>180975</xdr:rowOff>
        </xdr:to>
        <xdr:sp macro="" textlink="">
          <xdr:nvSpPr>
            <xdr:cNvPr id="8265" name="Option Button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1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</xdr:row>
          <xdr:rowOff>57150</xdr:rowOff>
        </xdr:from>
        <xdr:to>
          <xdr:col>14</xdr:col>
          <xdr:colOff>590550</xdr:colOff>
          <xdr:row>10</xdr:row>
          <xdr:rowOff>333375</xdr:rowOff>
        </xdr:to>
        <xdr:sp macro="" textlink="">
          <xdr:nvSpPr>
            <xdr:cNvPr id="8266" name="Option Button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1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8268" name="Group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1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87210</xdr:colOff>
      <xdr:row>6</xdr:row>
      <xdr:rowOff>165947</xdr:rowOff>
    </xdr:from>
    <xdr:to>
      <xdr:col>12</xdr:col>
      <xdr:colOff>586150</xdr:colOff>
      <xdr:row>9</xdr:row>
      <xdr:rowOff>175260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81230" y="1476587"/>
          <a:ext cx="704680" cy="687493"/>
        </a:xfrm>
        <a:prstGeom prst="rect">
          <a:avLst/>
        </a:prstGeom>
      </xdr:spPr>
    </xdr:pic>
    <xdr:clientData/>
  </xdr:twoCellAnchor>
  <xdr:twoCellAnchor editAs="oneCell">
    <xdr:from>
      <xdr:col>16</xdr:col>
      <xdr:colOff>91440</xdr:colOff>
      <xdr:row>6</xdr:row>
      <xdr:rowOff>152400</xdr:rowOff>
    </xdr:from>
    <xdr:to>
      <xdr:col>17</xdr:col>
      <xdr:colOff>76200</xdr:colOff>
      <xdr:row>9</xdr:row>
      <xdr:rowOff>175260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94220" y="1531620"/>
          <a:ext cx="701040" cy="701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10</xdr:row>
          <xdr:rowOff>38100</xdr:rowOff>
        </xdr:from>
        <xdr:to>
          <xdr:col>18</xdr:col>
          <xdr:colOff>571500</xdr:colOff>
          <xdr:row>10</xdr:row>
          <xdr:rowOff>323850</xdr:rowOff>
        </xdr:to>
        <xdr:sp macro="" textlink="">
          <xdr:nvSpPr>
            <xdr:cNvPr id="8270" name="Option Button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1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1</xdr:colOff>
      <xdr:row>22</xdr:row>
      <xdr:rowOff>114301</xdr:rowOff>
    </xdr:from>
    <xdr:to>
      <xdr:col>15</xdr:col>
      <xdr:colOff>186265</xdr:colOff>
      <xdr:row>24</xdr:row>
      <xdr:rowOff>259080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05501" y="4876801"/>
          <a:ext cx="902544" cy="624839"/>
        </a:xfrm>
        <a:prstGeom prst="rect">
          <a:avLst/>
        </a:prstGeom>
      </xdr:spPr>
    </xdr:pic>
    <xdr:clientData/>
  </xdr:twoCellAnchor>
  <xdr:twoCellAnchor editAs="oneCell">
    <xdr:from>
      <xdr:col>8</xdr:col>
      <xdr:colOff>83821</xdr:colOff>
      <xdr:row>23</xdr:row>
      <xdr:rowOff>76201</xdr:rowOff>
    </xdr:from>
    <xdr:to>
      <xdr:col>9</xdr:col>
      <xdr:colOff>157704</xdr:colOff>
      <xdr:row>24</xdr:row>
      <xdr:rowOff>251461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38501" y="4991101"/>
          <a:ext cx="790163" cy="502920"/>
        </a:xfrm>
        <a:prstGeom prst="rect">
          <a:avLst/>
        </a:prstGeom>
      </xdr:spPr>
    </xdr:pic>
    <xdr:clientData/>
  </xdr:twoCellAnchor>
  <xdr:twoCellAnchor editAs="oneCell">
    <xdr:from>
      <xdr:col>2</xdr:col>
      <xdr:colOff>87631</xdr:colOff>
      <xdr:row>6</xdr:row>
      <xdr:rowOff>91440</xdr:rowOff>
    </xdr:from>
    <xdr:to>
      <xdr:col>4</xdr:col>
      <xdr:colOff>701122</xdr:colOff>
      <xdr:row>7</xdr:row>
      <xdr:rowOff>142875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8156" y="1396365"/>
          <a:ext cx="1531701" cy="30861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4</xdr:row>
      <xdr:rowOff>129540</xdr:rowOff>
    </xdr:from>
    <xdr:to>
      <xdr:col>4</xdr:col>
      <xdr:colOff>490611</xdr:colOff>
      <xdr:row>5</xdr:row>
      <xdr:rowOff>152400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75360" y="830580"/>
          <a:ext cx="1107831" cy="228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16</xdr:row>
          <xdr:rowOff>19050</xdr:rowOff>
        </xdr:from>
        <xdr:to>
          <xdr:col>12</xdr:col>
          <xdr:colOff>542925</xdr:colOff>
          <xdr:row>16</xdr:row>
          <xdr:rowOff>180975</xdr:rowOff>
        </xdr:to>
        <xdr:sp macro="" textlink="">
          <xdr:nvSpPr>
            <xdr:cNvPr id="8271" name="Option Button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1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8273" name="Group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1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8274" name="Group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1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8275" name="Group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1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57150</xdr:rowOff>
        </xdr:from>
        <xdr:to>
          <xdr:col>4</xdr:col>
          <xdr:colOff>676275</xdr:colOff>
          <xdr:row>23</xdr:row>
          <xdr:rowOff>285750</xdr:rowOff>
        </xdr:to>
        <xdr:sp macro="" textlink="">
          <xdr:nvSpPr>
            <xdr:cNvPr id="8276" name="Option Button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1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24</xdr:row>
          <xdr:rowOff>38100</xdr:rowOff>
        </xdr:from>
        <xdr:to>
          <xdr:col>4</xdr:col>
          <xdr:colOff>676275</xdr:colOff>
          <xdr:row>24</xdr:row>
          <xdr:rowOff>266700</xdr:rowOff>
        </xdr:to>
        <xdr:sp macro="" textlink="">
          <xdr:nvSpPr>
            <xdr:cNvPr id="8278" name="Option Button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1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57150</xdr:rowOff>
        </xdr:from>
        <xdr:to>
          <xdr:col>10</xdr:col>
          <xdr:colOff>676275</xdr:colOff>
          <xdr:row>23</xdr:row>
          <xdr:rowOff>285750</xdr:rowOff>
        </xdr:to>
        <xdr:sp macro="" textlink="">
          <xdr:nvSpPr>
            <xdr:cNvPr id="8279" name="Option Button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1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24</xdr:row>
          <xdr:rowOff>38100</xdr:rowOff>
        </xdr:from>
        <xdr:to>
          <xdr:col>10</xdr:col>
          <xdr:colOff>676275</xdr:colOff>
          <xdr:row>24</xdr:row>
          <xdr:rowOff>266700</xdr:rowOff>
        </xdr:to>
        <xdr:sp macro="" textlink="">
          <xdr:nvSpPr>
            <xdr:cNvPr id="8280" name="Option Button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1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23</xdr:row>
          <xdr:rowOff>57150</xdr:rowOff>
        </xdr:from>
        <xdr:to>
          <xdr:col>16</xdr:col>
          <xdr:colOff>676275</xdr:colOff>
          <xdr:row>23</xdr:row>
          <xdr:rowOff>285750</xdr:rowOff>
        </xdr:to>
        <xdr:sp macro="" textlink="">
          <xdr:nvSpPr>
            <xdr:cNvPr id="8281" name="Option Button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1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24</xdr:row>
          <xdr:rowOff>38100</xdr:rowOff>
        </xdr:from>
        <xdr:to>
          <xdr:col>16</xdr:col>
          <xdr:colOff>676275</xdr:colOff>
          <xdr:row>24</xdr:row>
          <xdr:rowOff>266700</xdr:rowOff>
        </xdr:to>
        <xdr:sp macro="" textlink="">
          <xdr:nvSpPr>
            <xdr:cNvPr id="8282" name="Option Button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1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8283" name="Group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1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114300</xdr:colOff>
      <xdr:row>15</xdr:row>
      <xdr:rowOff>7620</xdr:rowOff>
    </xdr:from>
    <xdr:to>
      <xdr:col>12</xdr:col>
      <xdr:colOff>565443</xdr:colOff>
      <xdr:row>15</xdr:row>
      <xdr:rowOff>464860</xdr:rowOff>
    </xdr:to>
    <xdr:grpSp>
      <xdr:nvGrpSpPr>
        <xdr:cNvPr id="7" name="Групп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114925" y="3198495"/>
          <a:ext cx="451143" cy="457240"/>
          <a:chOff x="4983480" y="3208020"/>
          <a:chExt cx="451143" cy="457240"/>
        </a:xfrm>
      </xdr:grpSpPr>
      <xdr:pic>
        <xdr:nvPicPr>
          <xdr:cNvPr id="2" name="Рисунок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4983480" y="3208020"/>
            <a:ext cx="451143" cy="457240"/>
          </a:xfrm>
          <a:prstGeom prst="rect">
            <a:avLst/>
          </a:prstGeom>
        </xdr:spPr>
      </xdr:pic>
      <xdr:pic>
        <xdr:nvPicPr>
          <xdr:cNvPr id="42" name="Рисунок 41" descr="Picture background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83480" y="3208020"/>
            <a:ext cx="277861" cy="279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2</xdr:row>
      <xdr:rowOff>76200</xdr:rowOff>
    </xdr:from>
    <xdr:to>
      <xdr:col>0</xdr:col>
      <xdr:colOff>1187033</xdr:colOff>
      <xdr:row>4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1" y="548640"/>
          <a:ext cx="1027012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6</xdr:row>
      <xdr:rowOff>76201</xdr:rowOff>
    </xdr:from>
    <xdr:to>
      <xdr:col>0</xdr:col>
      <xdr:colOff>1097281</xdr:colOff>
      <xdr:row>10</xdr:row>
      <xdr:rowOff>155909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1211581"/>
          <a:ext cx="998220" cy="9636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22860</xdr:rowOff>
    </xdr:from>
    <xdr:to>
      <xdr:col>0</xdr:col>
      <xdr:colOff>868681</xdr:colOff>
      <xdr:row>50</xdr:row>
      <xdr:rowOff>113061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9334500"/>
          <a:ext cx="868680" cy="753141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52</xdr:row>
      <xdr:rowOff>114300</xdr:rowOff>
    </xdr:from>
    <xdr:to>
      <xdr:col>0</xdr:col>
      <xdr:colOff>1280160</xdr:colOff>
      <xdr:row>55</xdr:row>
      <xdr:rowOff>71835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" y="10309860"/>
          <a:ext cx="1196340" cy="620475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11</xdr:row>
      <xdr:rowOff>114300</xdr:rowOff>
    </xdr:from>
    <xdr:to>
      <xdr:col>0</xdr:col>
      <xdr:colOff>1164172</xdr:colOff>
      <xdr:row>13</xdr:row>
      <xdr:rowOff>190500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2354580"/>
          <a:ext cx="1027012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15</xdr:row>
      <xdr:rowOff>38101</xdr:rowOff>
    </xdr:from>
    <xdr:to>
      <xdr:col>0</xdr:col>
      <xdr:colOff>1127760</xdr:colOff>
      <xdr:row>19</xdr:row>
      <xdr:rowOff>117809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" y="2941321"/>
          <a:ext cx="998220" cy="9636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</xdr:row>
      <xdr:rowOff>99060</xdr:rowOff>
    </xdr:from>
    <xdr:to>
      <xdr:col>0</xdr:col>
      <xdr:colOff>1141312</xdr:colOff>
      <xdr:row>22</xdr:row>
      <xdr:rowOff>175260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107180"/>
          <a:ext cx="1027012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24</xdr:row>
      <xdr:rowOff>45721</xdr:rowOff>
    </xdr:from>
    <xdr:to>
      <xdr:col>0</xdr:col>
      <xdr:colOff>1127760</xdr:colOff>
      <xdr:row>28</xdr:row>
      <xdr:rowOff>125429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" y="4800601"/>
          <a:ext cx="998220" cy="963628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29</xdr:row>
      <xdr:rowOff>45720</xdr:rowOff>
    </xdr:from>
    <xdr:to>
      <xdr:col>0</xdr:col>
      <xdr:colOff>1171792</xdr:colOff>
      <xdr:row>31</xdr:row>
      <xdr:rowOff>121920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5821680"/>
          <a:ext cx="1027012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33</xdr:row>
      <xdr:rowOff>22861</xdr:rowOff>
    </xdr:from>
    <xdr:to>
      <xdr:col>0</xdr:col>
      <xdr:colOff>1112520</xdr:colOff>
      <xdr:row>37</xdr:row>
      <xdr:rowOff>102569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545581"/>
          <a:ext cx="998220" cy="963628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38</xdr:row>
      <xdr:rowOff>60960</xdr:rowOff>
    </xdr:from>
    <xdr:to>
      <xdr:col>0</xdr:col>
      <xdr:colOff>1133692</xdr:colOff>
      <xdr:row>40</xdr:row>
      <xdr:rowOff>137160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604760"/>
          <a:ext cx="1027012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42</xdr:row>
      <xdr:rowOff>45721</xdr:rowOff>
    </xdr:from>
    <xdr:to>
      <xdr:col>0</xdr:col>
      <xdr:colOff>1112520</xdr:colOff>
      <xdr:row>46</xdr:row>
      <xdr:rowOff>125429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8336281"/>
          <a:ext cx="998220" cy="9636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56</xdr:row>
      <xdr:rowOff>91440</xdr:rowOff>
    </xdr:from>
    <xdr:to>
      <xdr:col>0</xdr:col>
      <xdr:colOff>1223868</xdr:colOff>
      <xdr:row>59</xdr:row>
      <xdr:rowOff>196663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11170920"/>
          <a:ext cx="1109568" cy="768163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61</xdr:row>
      <xdr:rowOff>99060</xdr:rowOff>
    </xdr:from>
    <xdr:to>
      <xdr:col>0</xdr:col>
      <xdr:colOff>1295400</xdr:colOff>
      <xdr:row>64</xdr:row>
      <xdr:rowOff>151979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62442"/>
        <a:stretch/>
      </xdr:blipFill>
      <xdr:spPr>
        <a:xfrm>
          <a:off x="91440" y="12062460"/>
          <a:ext cx="1203960" cy="71585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65</xdr:row>
      <xdr:rowOff>53340</xdr:rowOff>
    </xdr:from>
    <xdr:to>
      <xdr:col>0</xdr:col>
      <xdr:colOff>1208628</xdr:colOff>
      <xdr:row>68</xdr:row>
      <xdr:rowOff>67115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" y="12900660"/>
          <a:ext cx="1109568" cy="67671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70</xdr:row>
      <xdr:rowOff>114300</xdr:rowOff>
    </xdr:from>
    <xdr:to>
      <xdr:col>0</xdr:col>
      <xdr:colOff>1265648</xdr:colOff>
      <xdr:row>73</xdr:row>
      <xdr:rowOff>53340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20" y="13845540"/>
          <a:ext cx="1181828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74</xdr:row>
      <xdr:rowOff>45720</xdr:rowOff>
    </xdr:from>
    <xdr:to>
      <xdr:col>0</xdr:col>
      <xdr:colOff>1144603</xdr:colOff>
      <xdr:row>77</xdr:row>
      <xdr:rowOff>157039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6220" y="14660880"/>
          <a:ext cx="908383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79</xdr:row>
      <xdr:rowOff>45720</xdr:rowOff>
    </xdr:from>
    <xdr:to>
      <xdr:col>0</xdr:col>
      <xdr:colOff>1167468</xdr:colOff>
      <xdr:row>82</xdr:row>
      <xdr:rowOff>144846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120" y="15544800"/>
          <a:ext cx="96934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83</xdr:row>
      <xdr:rowOff>15241</xdr:rowOff>
    </xdr:from>
    <xdr:to>
      <xdr:col>0</xdr:col>
      <xdr:colOff>1188720</xdr:colOff>
      <xdr:row>83</xdr:row>
      <xdr:rowOff>810371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6220" y="18470881"/>
          <a:ext cx="952500" cy="795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Молочное стекло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schock.ru/upload/iblock/440/144ffonlmshagn4ctfbbu7q0sd22z88f/SHINE-Colors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hyperlink" Target="https://disk.yandex.ru/i/xu-bOdQ1UXXKpw" TargetMode="Externa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hyperlink" Target="https://disk.yandex.ru/i/oMlxsMihnRTYcw" TargetMode="Externa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hyperlink" Target="https://www.schock.ru/upload/iblock/440/144ffonlmshagn4ctfbbu7q0sd22z88f/SHINE-Colors.pdf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W38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F38" sqref="F38"/>
    </sheetView>
  </sheetViews>
  <sheetFormatPr defaultRowHeight="15.75" x14ac:dyDescent="0.25"/>
  <cols>
    <col min="1" max="1" width="3.625" customWidth="1"/>
    <col min="2" max="2" width="4.75" hidden="1" customWidth="1"/>
    <col min="3" max="3" width="2.75" customWidth="1"/>
    <col min="4" max="4" width="13.25" customWidth="1"/>
    <col min="5" max="5" width="2.75" customWidth="1"/>
    <col min="6" max="6" width="13.25" customWidth="1"/>
    <col min="7" max="7" width="2.75" customWidth="1"/>
    <col min="8" max="8" width="13.25" customWidth="1"/>
    <col min="9" max="9" width="2.75" customWidth="1"/>
    <col min="10" max="10" width="13.25" customWidth="1"/>
    <col min="11" max="11" width="2.75" customWidth="1"/>
    <col min="12" max="12" width="13.25" customWidth="1"/>
    <col min="13" max="13" width="2.75" customWidth="1"/>
    <col min="14" max="14" width="13.25" customWidth="1"/>
    <col min="15" max="15" width="2.75" customWidth="1"/>
    <col min="16" max="16" width="13.25" customWidth="1"/>
    <col min="17" max="17" width="2.75" customWidth="1"/>
    <col min="18" max="18" width="13.25" customWidth="1"/>
    <col min="19" max="19" width="2.75" customWidth="1"/>
    <col min="20" max="20" width="13.25" customWidth="1"/>
    <col min="21" max="21" width="2.75" customWidth="1"/>
    <col min="22" max="22" width="2.875" customWidth="1"/>
    <col min="23" max="23" width="16.75" hidden="1" customWidth="1"/>
  </cols>
  <sheetData>
    <row r="1" spans="3:23" x14ac:dyDescent="0.25">
      <c r="C1" s="1" t="s">
        <v>85</v>
      </c>
      <c r="Q1" s="78" t="s">
        <v>118</v>
      </c>
      <c r="R1" s="78"/>
      <c r="S1" s="78"/>
      <c r="T1" s="78"/>
    </row>
    <row r="2" spans="3:23" x14ac:dyDescent="0.25">
      <c r="Q2" s="78"/>
      <c r="R2" s="78"/>
      <c r="S2" s="78"/>
      <c r="T2" s="78"/>
    </row>
    <row r="3" spans="3:23" ht="15" customHeight="1" x14ac:dyDescent="0.25">
      <c r="Q3" s="78"/>
      <c r="R3" s="78"/>
      <c r="S3" s="78"/>
      <c r="T3" s="78"/>
    </row>
    <row r="4" spans="3:23" ht="7.15" customHeight="1" thickBot="1" x14ac:dyDescent="0.3"/>
    <row r="5" spans="3:23" s="26" customFormat="1" ht="22.15" customHeight="1" thickBot="1" x14ac:dyDescent="0.3">
      <c r="C5" s="23"/>
      <c r="D5" s="24" t="s">
        <v>77</v>
      </c>
      <c r="E5" s="24"/>
      <c r="F5" s="24"/>
      <c r="G5" s="25"/>
      <c r="I5" s="23"/>
      <c r="J5" s="24" t="s">
        <v>76</v>
      </c>
      <c r="K5" s="24"/>
      <c r="L5" s="24"/>
      <c r="M5" s="24"/>
      <c r="N5" s="24"/>
      <c r="O5" s="25"/>
      <c r="Q5" s="23"/>
      <c r="R5" s="24" t="s">
        <v>86</v>
      </c>
      <c r="S5" s="24"/>
      <c r="T5" s="24"/>
      <c r="U5" s="25"/>
      <c r="W5" t="s">
        <v>109</v>
      </c>
    </row>
    <row r="6" spans="3:23" ht="9.6" customHeight="1" thickBot="1" x14ac:dyDescent="0.3">
      <c r="C6" s="6"/>
      <c r="D6" s="7"/>
      <c r="E6" s="7"/>
      <c r="F6" s="7"/>
      <c r="G6" s="8"/>
      <c r="I6" s="6"/>
      <c r="J6" s="7"/>
      <c r="K6" s="7"/>
      <c r="L6" s="7"/>
      <c r="M6" s="7"/>
      <c r="N6" s="7"/>
      <c r="O6" s="8"/>
      <c r="Q6" s="6"/>
      <c r="R6" s="7"/>
      <c r="S6" s="7"/>
      <c r="T6" s="7"/>
      <c r="U6" s="8"/>
    </row>
    <row r="7" spans="3:23" ht="32.450000000000003" customHeight="1" thickBot="1" x14ac:dyDescent="0.3">
      <c r="C7" s="6"/>
      <c r="D7" s="82" t="s">
        <v>126</v>
      </c>
      <c r="E7" s="7"/>
      <c r="F7" s="5">
        <v>2700</v>
      </c>
      <c r="G7" s="8"/>
      <c r="I7" s="6"/>
      <c r="J7" s="13">
        <v>620</v>
      </c>
      <c r="K7" s="15"/>
      <c r="L7" s="7"/>
      <c r="M7" s="13"/>
      <c r="N7" s="15"/>
      <c r="O7" s="8"/>
      <c r="Q7" s="6"/>
      <c r="R7" s="2"/>
      <c r="S7" s="7"/>
      <c r="T7" s="2"/>
      <c r="U7" s="8"/>
      <c r="W7" t="str">
        <f>IF(N24=2,"в сборе со стеклом","в разборе без стекла")</f>
        <v>в разборе без стекла</v>
      </c>
    </row>
    <row r="8" spans="3:23" ht="126" customHeight="1" thickBot="1" x14ac:dyDescent="0.3">
      <c r="C8" s="6"/>
      <c r="D8" s="82" t="s">
        <v>75</v>
      </c>
      <c r="E8" s="7"/>
      <c r="F8" s="4">
        <v>620</v>
      </c>
      <c r="G8" s="8"/>
      <c r="I8" s="6"/>
      <c r="J8" s="6"/>
      <c r="K8" s="8"/>
      <c r="L8" s="7"/>
      <c r="M8" s="6"/>
      <c r="N8" s="8"/>
      <c r="O8" s="8" t="s">
        <v>87</v>
      </c>
      <c r="Q8" s="6"/>
      <c r="R8" s="16"/>
      <c r="S8" s="7"/>
      <c r="T8" s="16"/>
      <c r="U8" s="8"/>
      <c r="W8" t="str">
        <f>CONCATENATE(F7,"х",F8)</f>
        <v>2700х620</v>
      </c>
    </row>
    <row r="9" spans="3:23" s="19" customFormat="1" ht="28.9" customHeight="1" x14ac:dyDescent="0.25">
      <c r="C9" s="20"/>
      <c r="D9" s="21"/>
      <c r="E9" s="21"/>
      <c r="F9" s="95" t="s">
        <v>121</v>
      </c>
      <c r="G9" s="22"/>
      <c r="I9" s="20"/>
      <c r="J9" s="225" t="s">
        <v>113</v>
      </c>
      <c r="K9" s="226"/>
      <c r="L9" s="21"/>
      <c r="M9" s="225" t="s">
        <v>114</v>
      </c>
      <c r="N9" s="226"/>
      <c r="O9" s="22"/>
      <c r="Q9" s="20"/>
      <c r="R9" s="31" t="s">
        <v>117</v>
      </c>
      <c r="S9" s="21"/>
      <c r="T9" s="31" t="s">
        <v>116</v>
      </c>
      <c r="U9" s="22"/>
      <c r="W9" s="19" t="str">
        <f>IF(H10=1,"запил под 90°","запил под 45°")</f>
        <v>запил под 45°</v>
      </c>
    </row>
    <row r="10" spans="3:23" ht="4.9000000000000004" customHeight="1" thickBot="1" x14ac:dyDescent="0.3">
      <c r="C10" s="6"/>
      <c r="D10" s="7"/>
      <c r="E10" s="7"/>
      <c r="F10" s="7"/>
      <c r="G10" s="8"/>
      <c r="H10" s="18">
        <v>4</v>
      </c>
      <c r="I10" s="6"/>
      <c r="J10" s="9"/>
      <c r="K10" s="11"/>
      <c r="L10" s="7"/>
      <c r="M10" s="9"/>
      <c r="N10" s="11"/>
      <c r="O10" s="8"/>
      <c r="P10" s="18">
        <v>2</v>
      </c>
      <c r="Q10" s="6"/>
      <c r="R10" s="3"/>
      <c r="S10" s="7"/>
      <c r="T10" s="3"/>
      <c r="U10" s="8"/>
      <c r="W10" t="str">
        <f>IF(P10=1,"с ручкой","без ручки")</f>
        <v>без ручки</v>
      </c>
    </row>
    <row r="11" spans="3:23" ht="10.9" customHeight="1" thickBot="1" x14ac:dyDescent="0.3">
      <c r="C11" s="9"/>
      <c r="D11" s="10"/>
      <c r="E11" s="10"/>
      <c r="F11" s="10"/>
      <c r="G11" s="11"/>
      <c r="I11" s="9"/>
      <c r="J11" s="10"/>
      <c r="K11" s="10"/>
      <c r="L11" s="10"/>
      <c r="M11" s="10"/>
      <c r="N11" s="10"/>
      <c r="O11" s="11"/>
      <c r="Q11" s="9"/>
      <c r="R11" s="10"/>
      <c r="S11" s="10"/>
      <c r="T11" s="10"/>
      <c r="U11" s="11"/>
    </row>
    <row r="12" spans="3:23" ht="15.6" customHeight="1" thickBot="1" x14ac:dyDescent="0.3"/>
    <row r="13" spans="3:23" s="30" customFormat="1" ht="22.15" customHeight="1" thickBot="1" x14ac:dyDescent="0.3">
      <c r="C13" s="27"/>
      <c r="D13" s="24" t="s">
        <v>78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8"/>
      <c r="Q13" s="28"/>
      <c r="R13" s="28"/>
      <c r="S13" s="28"/>
      <c r="T13" s="28"/>
      <c r="U13" s="29"/>
    </row>
    <row r="14" spans="3:23" ht="16.5" thickBot="1" x14ac:dyDescent="0.3"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</row>
    <row r="15" spans="3:23" ht="75.599999999999994" customHeight="1" x14ac:dyDescent="0.25">
      <c r="C15" s="6"/>
      <c r="D15" s="2"/>
      <c r="E15" s="7"/>
      <c r="F15" s="2"/>
      <c r="G15" s="7"/>
      <c r="H15" s="2"/>
      <c r="I15" s="7"/>
      <c r="J15" s="2"/>
      <c r="K15" s="7"/>
      <c r="L15" s="2"/>
      <c r="M15" s="7"/>
      <c r="N15" s="2"/>
      <c r="O15" s="7"/>
      <c r="P15" s="2"/>
      <c r="Q15" s="7"/>
      <c r="R15" s="2"/>
      <c r="S15" s="7"/>
      <c r="T15" s="93" t="s">
        <v>119</v>
      </c>
      <c r="U15" s="8"/>
    </row>
    <row r="16" spans="3:23" ht="27" customHeight="1" x14ac:dyDescent="0.25">
      <c r="C16" s="6"/>
      <c r="D16" s="33" t="s">
        <v>74</v>
      </c>
      <c r="E16" s="34"/>
      <c r="F16" s="33" t="s">
        <v>9</v>
      </c>
      <c r="G16" s="34"/>
      <c r="H16" s="33" t="s">
        <v>102</v>
      </c>
      <c r="I16" s="34"/>
      <c r="J16" s="33" t="s">
        <v>7</v>
      </c>
      <c r="K16" s="34"/>
      <c r="L16" s="33" t="s">
        <v>3</v>
      </c>
      <c r="M16" s="34"/>
      <c r="N16" s="33" t="s">
        <v>1</v>
      </c>
      <c r="O16" s="34"/>
      <c r="P16" s="33" t="s">
        <v>2</v>
      </c>
      <c r="Q16" s="34"/>
      <c r="R16" s="33" t="s">
        <v>124</v>
      </c>
      <c r="S16" s="34"/>
      <c r="T16" s="33" t="s">
        <v>82</v>
      </c>
      <c r="U16" s="8"/>
      <c r="W16" t="str">
        <f>IF(B17=D18,D16,IF(B17=F18,F16,IF(B17=H18,H16,IF(B17=J18,J16,IF(B17=L18,L16,IF(B17=N18,N16,IF(B17=P18,P16,IF(B17=R18,R16,IF(B17=T18,T16)))))))))</f>
        <v>флорентийская бронза</v>
      </c>
    </row>
    <row r="17" spans="2:21" ht="5.45" customHeight="1" thickBot="1" x14ac:dyDescent="0.3">
      <c r="B17">
        <v>9</v>
      </c>
      <c r="C17" s="6"/>
      <c r="D17" s="3"/>
      <c r="E17" s="7"/>
      <c r="F17" s="3"/>
      <c r="G17" s="7"/>
      <c r="H17" s="3"/>
      <c r="I17" s="7"/>
      <c r="J17" s="3"/>
      <c r="K17" s="7"/>
      <c r="L17" s="3"/>
      <c r="M17" s="7"/>
      <c r="N17" s="3"/>
      <c r="O17" s="7"/>
      <c r="P17" s="3"/>
      <c r="Q17" s="7"/>
      <c r="R17" s="3"/>
      <c r="S17" s="7"/>
      <c r="T17" s="3"/>
      <c r="U17" s="8"/>
    </row>
    <row r="18" spans="2:21" ht="15.6" customHeight="1" thickBot="1" x14ac:dyDescent="0.3">
      <c r="C18" s="9"/>
      <c r="D18" s="52">
        <v>1</v>
      </c>
      <c r="E18" s="52"/>
      <c r="F18" s="52">
        <v>2</v>
      </c>
      <c r="G18" s="52"/>
      <c r="H18" s="52">
        <v>3</v>
      </c>
      <c r="I18" s="52"/>
      <c r="J18" s="52">
        <v>4</v>
      </c>
      <c r="K18" s="52"/>
      <c r="L18" s="52">
        <v>5</v>
      </c>
      <c r="M18" s="52"/>
      <c r="N18" s="52">
        <v>6</v>
      </c>
      <c r="O18" s="52"/>
      <c r="P18" s="52">
        <v>7</v>
      </c>
      <c r="Q18" s="52"/>
      <c r="R18" s="52">
        <v>8</v>
      </c>
      <c r="S18" s="52"/>
      <c r="T18" s="52">
        <v>9</v>
      </c>
      <c r="U18" s="11"/>
    </row>
    <row r="19" spans="2:21" ht="21" customHeight="1" thickBot="1" x14ac:dyDescent="0.3"/>
    <row r="20" spans="2:21" s="26" customFormat="1" ht="22.15" customHeight="1" thickBot="1" x14ac:dyDescent="0.3">
      <c r="C20" s="23"/>
      <c r="D20" s="24" t="s">
        <v>79</v>
      </c>
      <c r="E20" s="24"/>
      <c r="F20" s="24"/>
      <c r="G20" s="25"/>
      <c r="I20" s="23"/>
      <c r="J20" s="24" t="s">
        <v>80</v>
      </c>
      <c r="K20" s="24"/>
      <c r="L20" s="24"/>
      <c r="M20" s="25"/>
      <c r="O20" s="23"/>
      <c r="P20" s="24" t="s">
        <v>127</v>
      </c>
      <c r="Q20" s="24"/>
      <c r="R20" s="24"/>
      <c r="S20" s="25"/>
    </row>
    <row r="21" spans="2:21" ht="16.5" thickBot="1" x14ac:dyDescent="0.3">
      <c r="C21" s="84"/>
      <c r="D21" s="85"/>
      <c r="E21" s="85"/>
      <c r="F21" s="85"/>
      <c r="G21" s="86"/>
      <c r="I21" s="6"/>
      <c r="J21" s="7"/>
      <c r="K21" s="7"/>
      <c r="L21" s="7"/>
      <c r="M21" s="8"/>
      <c r="O21" s="6"/>
      <c r="P21" s="7"/>
      <c r="Q21" s="7"/>
      <c r="R21" s="7"/>
      <c r="S21" s="8"/>
    </row>
    <row r="22" spans="2:21" ht="6.6" customHeight="1" x14ac:dyDescent="0.25">
      <c r="C22" s="84"/>
      <c r="D22" s="87"/>
      <c r="E22" s="85"/>
      <c r="F22" s="87"/>
      <c r="G22" s="86"/>
      <c r="I22" s="6"/>
      <c r="J22" s="2"/>
      <c r="K22" s="7"/>
      <c r="L22" s="2"/>
      <c r="M22" s="8"/>
      <c r="O22" s="6"/>
      <c r="P22" s="2"/>
      <c r="Q22" s="7"/>
      <c r="R22" s="2"/>
      <c r="S22" s="8"/>
    </row>
    <row r="23" spans="2:21" s="19" customFormat="1" ht="33.6" customHeight="1" x14ac:dyDescent="0.25">
      <c r="C23" s="91"/>
      <c r="D23" s="31" t="s">
        <v>110</v>
      </c>
      <c r="E23" s="32"/>
      <c r="F23" s="31" t="s">
        <v>103</v>
      </c>
      <c r="G23" s="92"/>
      <c r="I23" s="20"/>
      <c r="J23" s="31" t="s">
        <v>111</v>
      </c>
      <c r="K23" s="21"/>
      <c r="L23" s="31" t="s">
        <v>104</v>
      </c>
      <c r="M23" s="22"/>
      <c r="O23" s="20"/>
      <c r="P23" s="31" t="s">
        <v>112</v>
      </c>
      <c r="Q23" s="21"/>
      <c r="R23" s="31" t="s">
        <v>105</v>
      </c>
      <c r="S23" s="22"/>
      <c r="T23" s="12"/>
    </row>
    <row r="24" spans="2:21" ht="7.9" customHeight="1" thickBot="1" x14ac:dyDescent="0.3">
      <c r="B24" s="18">
        <v>2</v>
      </c>
      <c r="C24" s="84"/>
      <c r="D24" s="88"/>
      <c r="E24" s="85"/>
      <c r="F24" s="88"/>
      <c r="G24" s="86"/>
      <c r="H24" s="18">
        <v>2</v>
      </c>
      <c r="I24" s="6"/>
      <c r="J24" s="3"/>
      <c r="K24" s="7"/>
      <c r="L24" s="3"/>
      <c r="M24" s="8"/>
      <c r="N24" s="18">
        <v>1</v>
      </c>
      <c r="O24" s="6"/>
      <c r="P24" s="3"/>
      <c r="Q24" s="7"/>
      <c r="R24" s="3"/>
      <c r="S24" s="8"/>
    </row>
    <row r="25" spans="2:21" ht="16.5" thickBot="1" x14ac:dyDescent="0.3">
      <c r="C25" s="89"/>
      <c r="D25" s="51"/>
      <c r="E25" s="51"/>
      <c r="F25" s="51"/>
      <c r="G25" s="90"/>
      <c r="I25" s="9"/>
      <c r="J25" s="10"/>
      <c r="K25" s="10"/>
      <c r="L25" s="10"/>
      <c r="M25" s="11"/>
      <c r="O25" s="9"/>
      <c r="P25" s="10"/>
      <c r="Q25" s="10"/>
      <c r="R25" s="10"/>
      <c r="S25" s="11"/>
    </row>
    <row r="26" spans="2:21" ht="52.9" customHeight="1" thickBot="1" x14ac:dyDescent="0.3">
      <c r="D26" t="s">
        <v>122</v>
      </c>
      <c r="H26" s="78"/>
      <c r="J26" t="s">
        <v>122</v>
      </c>
      <c r="O26" s="227" t="s">
        <v>73</v>
      </c>
      <c r="P26" s="227"/>
      <c r="Q26" s="227"/>
      <c r="R26" s="227"/>
      <c r="S26" s="227"/>
    </row>
    <row r="27" spans="2:21" s="30" customFormat="1" ht="22.15" customHeight="1" thickBot="1" x14ac:dyDescent="0.3">
      <c r="C27" s="228" t="s">
        <v>83</v>
      </c>
      <c r="D27" s="229"/>
      <c r="E27" s="229"/>
      <c r="F27" s="230"/>
      <c r="G27" s="229" t="s">
        <v>115</v>
      </c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31" t="s">
        <v>84</v>
      </c>
      <c r="S27" s="232"/>
      <c r="T27" s="232"/>
      <c r="U27" s="233"/>
    </row>
    <row r="28" spans="2:21" s="30" customFormat="1" ht="37.9" customHeight="1" thickBot="1" x14ac:dyDescent="0.3">
      <c r="C28" s="234"/>
      <c r="D28" s="235"/>
      <c r="E28" s="235"/>
      <c r="F28" s="236"/>
      <c r="G28" s="237" t="str">
        <f>CONCATENATE(W5," ",W7," ",W8," ",W9," ",W10,", цвет"," ",W16)</f>
        <v>Фасад SHINE в разборе без стекла 2700х620 запил под 45° без ручки, цвет флорентийская бронза</v>
      </c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8">
        <f>'цены расчет'!I92</f>
        <v>18044.400000000001</v>
      </c>
      <c r="S28" s="239"/>
      <c r="T28" s="239"/>
      <c r="U28" s="240"/>
    </row>
    <row r="29" spans="2:21" ht="28.9" customHeight="1" x14ac:dyDescent="0.25">
      <c r="O29" s="83"/>
      <c r="P29" s="83"/>
      <c r="Q29" s="83"/>
      <c r="R29" s="83"/>
      <c r="S29" s="83"/>
    </row>
    <row r="30" spans="2:21" x14ac:dyDescent="0.25">
      <c r="C30" t="s">
        <v>106</v>
      </c>
    </row>
    <row r="31" spans="2:21" ht="22.15" customHeight="1" x14ac:dyDescent="0.25">
      <c r="C31" s="35" t="s">
        <v>107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241" t="e">
        <f>'цены расчет'!#REF!</f>
        <v>#REF!</v>
      </c>
      <c r="S31" s="242"/>
      <c r="T31" s="242"/>
      <c r="U31" s="243"/>
    </row>
    <row r="32" spans="2:21" ht="22.15" customHeight="1" x14ac:dyDescent="0.25">
      <c r="C32" s="35" t="s">
        <v>108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244" t="str">
        <f>CONCATENATE('цены расчет'!C90,"х",'цены расчет'!C91)</f>
        <v>2687х497</v>
      </c>
      <c r="S32" s="242"/>
      <c r="T32" s="242"/>
      <c r="U32" s="243"/>
    </row>
    <row r="35" spans="4:4" x14ac:dyDescent="0.25">
      <c r="D35" t="s">
        <v>128</v>
      </c>
    </row>
    <row r="38" spans="4:4" x14ac:dyDescent="0.25">
      <c r="D38" t="s">
        <v>125</v>
      </c>
    </row>
  </sheetData>
  <mergeCells count="11">
    <mergeCell ref="C28:F28"/>
    <mergeCell ref="G28:Q28"/>
    <mergeCell ref="R28:U28"/>
    <mergeCell ref="R31:U31"/>
    <mergeCell ref="R32:U32"/>
    <mergeCell ref="J9:K9"/>
    <mergeCell ref="M9:N9"/>
    <mergeCell ref="O26:S26"/>
    <mergeCell ref="C27:F27"/>
    <mergeCell ref="G27:Q27"/>
    <mergeCell ref="R27:U27"/>
  </mergeCells>
  <conditionalFormatting sqref="D16">
    <cfRule type="expression" dxfId="45" priority="19">
      <formula>$B$17=$D$18</formula>
    </cfRule>
  </conditionalFormatting>
  <conditionalFormatting sqref="F16">
    <cfRule type="expression" dxfId="44" priority="18">
      <formula>$B$17=2</formula>
    </cfRule>
  </conditionalFormatting>
  <conditionalFormatting sqref="H16">
    <cfRule type="expression" dxfId="43" priority="17">
      <formula>$B$17=H18</formula>
    </cfRule>
  </conditionalFormatting>
  <conditionalFormatting sqref="J16">
    <cfRule type="expression" dxfId="42" priority="16">
      <formula>$B$17=J18</formula>
    </cfRule>
  </conditionalFormatting>
  <conditionalFormatting sqref="L16">
    <cfRule type="expression" dxfId="41" priority="15">
      <formula>$B$17=L18</formula>
    </cfRule>
  </conditionalFormatting>
  <conditionalFormatting sqref="N16">
    <cfRule type="expression" dxfId="40" priority="14">
      <formula>$B$17=N18</formula>
    </cfRule>
  </conditionalFormatting>
  <conditionalFormatting sqref="P16">
    <cfRule type="expression" dxfId="39" priority="13">
      <formula>$B$17=P18</formula>
    </cfRule>
  </conditionalFormatting>
  <conditionalFormatting sqref="R16">
    <cfRule type="expression" dxfId="38" priority="12">
      <formula>$B$17=R18</formula>
    </cfRule>
  </conditionalFormatting>
  <conditionalFormatting sqref="T16">
    <cfRule type="expression" dxfId="37" priority="11">
      <formula>$B$17=T18</formula>
    </cfRule>
  </conditionalFormatting>
  <conditionalFormatting sqref="D23">
    <cfRule type="expression" dxfId="36" priority="10">
      <formula>$B$24=1</formula>
    </cfRule>
  </conditionalFormatting>
  <conditionalFormatting sqref="F23">
    <cfRule type="expression" dxfId="35" priority="9">
      <formula>$B$24=2</formula>
    </cfRule>
  </conditionalFormatting>
  <conditionalFormatting sqref="J23">
    <cfRule type="expression" dxfId="34" priority="8">
      <formula>$H$24=1</formula>
    </cfRule>
  </conditionalFormatting>
  <conditionalFormatting sqref="L23">
    <cfRule type="expression" dxfId="33" priority="7">
      <formula>$H$24=2</formula>
    </cfRule>
  </conditionalFormatting>
  <conditionalFormatting sqref="P23">
    <cfRule type="expression" dxfId="32" priority="6">
      <formula>$N$24=2</formula>
    </cfRule>
  </conditionalFormatting>
  <conditionalFormatting sqref="R23">
    <cfRule type="expression" dxfId="31" priority="5">
      <formula>$N$24=1</formula>
    </cfRule>
  </conditionalFormatting>
  <conditionalFormatting sqref="R9">
    <cfRule type="expression" dxfId="30" priority="4">
      <formula>$P$10=1</formula>
    </cfRule>
  </conditionalFormatting>
  <conditionalFormatting sqref="T9">
    <cfRule type="expression" dxfId="29" priority="3">
      <formula>$P$10=2</formula>
    </cfRule>
  </conditionalFormatting>
  <conditionalFormatting sqref="J9:K9">
    <cfRule type="expression" dxfId="28" priority="2">
      <formula>$H$10=1</formula>
    </cfRule>
  </conditionalFormatting>
  <conditionalFormatting sqref="M9:N9">
    <cfRule type="expression" dxfId="27" priority="1">
      <formula>$H$10=2</formula>
    </cfRule>
  </conditionalFormatting>
  <hyperlinks>
    <hyperlink ref="C1" r:id="rId1" xr:uid="{00000000-0004-0000-0000-000000000000}"/>
  </hyperlinks>
  <pageMargins left="0.7" right="0.7" top="0.75" bottom="0.75" header="0.3" footer="0.3"/>
  <pageSetup paperSize="9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47625</xdr:rowOff>
                  </from>
                  <to>
                    <xdr:col>3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6" name="Group Box 23">
              <controlPr defaultSize="0" autoFill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7" name="Group Box 24">
              <controlPr defaultSize="0" autoFill="0" autoPict="0">
                <anchor moveWithCells="1">
                  <from>
                    <xdr:col>1</xdr:col>
                    <xdr:colOff>361950</xdr:colOff>
                    <xdr:row>19</xdr:row>
                    <xdr:rowOff>0</xdr:rowOff>
                  </from>
                  <to>
                    <xdr:col>7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8" name="Group Box 25">
              <controlPr defaultSize="0" autoFill="0" autoPict="0">
                <anchor moveWithCells="1">
                  <from>
                    <xdr:col>7</xdr:col>
                    <xdr:colOff>1009650</xdr:colOff>
                    <xdr:row>19</xdr:row>
                    <xdr:rowOff>0</xdr:rowOff>
                  </from>
                  <to>
                    <xdr:col>13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9" name="Group Box 26">
              <controlPr defaultSize="0" autoFill="0" autoPict="0">
                <anchor moveWithCells="1">
                  <from>
                    <xdr:col>13</xdr:col>
                    <xdr:colOff>1009650</xdr:colOff>
                    <xdr:row>19</xdr:row>
                    <xdr:rowOff>0</xdr:rowOff>
                  </from>
                  <to>
                    <xdr:col>19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0" name="Group Box 27">
              <controlPr defaultSize="0" autoFill="0" autoPict="0">
                <anchor moveWithCells="1">
                  <from>
                    <xdr:col>15</xdr:col>
                    <xdr:colOff>1009650</xdr:colOff>
                    <xdr:row>3</xdr:row>
                    <xdr:rowOff>76200</xdr:rowOff>
                  </from>
                  <to>
                    <xdr:col>21</xdr:col>
                    <xdr:colOff>0</xdr:colOff>
                    <xdr:row>7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1" name="Group Box 28">
              <controlPr defaultSize="0" autoFill="0" autoPict="0">
                <anchor moveWithCells="1">
                  <from>
                    <xdr:col>7</xdr:col>
                    <xdr:colOff>1009650</xdr:colOff>
                    <xdr:row>3</xdr:row>
                    <xdr:rowOff>76200</xdr:rowOff>
                  </from>
                  <to>
                    <xdr:col>15</xdr:col>
                    <xdr:colOff>0</xdr:colOff>
                    <xdr:row>7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2" name="Option Button 29">
              <controlPr defaultSize="0" autoFill="0" autoLine="0" autoPict="0">
                <anchor moveWithCells="1">
                  <from>
                    <xdr:col>4</xdr:col>
                    <xdr:colOff>285750</xdr:colOff>
                    <xdr:row>15</xdr:row>
                    <xdr:rowOff>47625</xdr:rowOff>
                  </from>
                  <to>
                    <xdr:col>5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3" name="Option Button 30">
              <controlPr defaultSize="0" autoFill="0" autoLine="0" autoPict="0">
                <anchor moveWithCells="1">
                  <from>
                    <xdr:col>6</xdr:col>
                    <xdr:colOff>285750</xdr:colOff>
                    <xdr:row>15</xdr:row>
                    <xdr:rowOff>47625</xdr:rowOff>
                  </from>
                  <to>
                    <xdr:col>7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4" name="Option Button 31">
              <controlPr defaultSize="0" autoFill="0" autoLine="0" autoPict="0">
                <anchor moveWithCells="1">
                  <from>
                    <xdr:col>8</xdr:col>
                    <xdr:colOff>285750</xdr:colOff>
                    <xdr:row>15</xdr:row>
                    <xdr:rowOff>47625</xdr:rowOff>
                  </from>
                  <to>
                    <xdr:col>9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5" name="Option Button 32">
              <controlPr defaultSize="0" autoFill="0" autoLine="0" autoPict="0">
                <anchor moveWithCells="1">
                  <from>
                    <xdr:col>10</xdr:col>
                    <xdr:colOff>285750</xdr:colOff>
                    <xdr:row>15</xdr:row>
                    <xdr:rowOff>47625</xdr:rowOff>
                  </from>
                  <to>
                    <xdr:col>11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6" name="Option Button 33">
              <controlPr defaultSize="0" autoFill="0" autoLine="0" autoPict="0">
                <anchor moveWithCells="1">
                  <from>
                    <xdr:col>12</xdr:col>
                    <xdr:colOff>285750</xdr:colOff>
                    <xdr:row>15</xdr:row>
                    <xdr:rowOff>47625</xdr:rowOff>
                  </from>
                  <to>
                    <xdr:col>13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7" name="Option Button 34">
              <controlPr defaultSize="0" autoFill="0" autoLine="0" autoPict="0">
                <anchor moveWithCells="1">
                  <from>
                    <xdr:col>14</xdr:col>
                    <xdr:colOff>285750</xdr:colOff>
                    <xdr:row>15</xdr:row>
                    <xdr:rowOff>47625</xdr:rowOff>
                  </from>
                  <to>
                    <xdr:col>15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8" name="Option Button 35">
              <controlPr defaultSize="0" autoFill="0" autoLine="0" autoPict="0">
                <anchor moveWithCells="1">
                  <from>
                    <xdr:col>16</xdr:col>
                    <xdr:colOff>285750</xdr:colOff>
                    <xdr:row>15</xdr:row>
                    <xdr:rowOff>47625</xdr:rowOff>
                  </from>
                  <to>
                    <xdr:col>17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9" name="Option Button 37">
              <controlPr defaultSize="0" autoFill="0" autoLine="0" autoPict="0">
                <anchor moveWithCells="1">
                  <from>
                    <xdr:col>18</xdr:col>
                    <xdr:colOff>285750</xdr:colOff>
                    <xdr:row>15</xdr:row>
                    <xdr:rowOff>47625</xdr:rowOff>
                  </from>
                  <to>
                    <xdr:col>19</xdr:col>
                    <xdr:colOff>933450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0" name="Option Button 38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19050</xdr:rowOff>
                  </from>
                  <to>
                    <xdr:col>10</xdr:col>
                    <xdr:colOff>171450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1" name="Option Button 39">
              <controlPr defaultSize="0" autoFill="0" autoLine="0" autoPict="0">
                <anchor moveWithCells="1">
                  <from>
                    <xdr:col>12</xdr:col>
                    <xdr:colOff>47625</xdr:colOff>
                    <xdr:row>8</xdr:row>
                    <xdr:rowOff>19050</xdr:rowOff>
                  </from>
                  <to>
                    <xdr:col>13</xdr:col>
                    <xdr:colOff>942975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2" name="Option Button 40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28575</xdr:rowOff>
                  </from>
                  <to>
                    <xdr:col>17</xdr:col>
                    <xdr:colOff>990600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3" name="Option Button 41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28575</xdr:rowOff>
                  </from>
                  <to>
                    <xdr:col>19</xdr:col>
                    <xdr:colOff>1009650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4" name="Option Button 4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400050</xdr:rowOff>
                  </from>
                  <to>
                    <xdr:col>3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5" name="Option Button 44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400050</xdr:rowOff>
                  </from>
                  <to>
                    <xdr:col>5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6" name="Option Button 45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400050</xdr:rowOff>
                  </from>
                  <to>
                    <xdr:col>9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7" name="Option Button 46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400050</xdr:rowOff>
                  </from>
                  <to>
                    <xdr:col>11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8" name="Option Button 48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17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9" name="Option Button 49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15</xdr:col>
                    <xdr:colOff>1000125</xdr:colOff>
                    <xdr:row>22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X39"/>
  <sheetViews>
    <sheetView showGridLines="0" tabSelected="1" topLeftCell="A7" zoomScaleNormal="100" workbookViewId="0">
      <selection activeCell="Z22" sqref="Z22"/>
    </sheetView>
  </sheetViews>
  <sheetFormatPr defaultColWidth="8.75" defaultRowHeight="15.75" x14ac:dyDescent="0.25"/>
  <cols>
    <col min="1" max="1" width="5.125" style="153" customWidth="1"/>
    <col min="2" max="2" width="5" style="153" hidden="1" customWidth="1"/>
    <col min="3" max="3" width="9.375" style="153" customWidth="1"/>
    <col min="4" max="4" width="2.75" style="153" customWidth="1"/>
    <col min="5" max="5" width="9.375" style="153" customWidth="1"/>
    <col min="6" max="6" width="2.75" style="153" customWidth="1"/>
    <col min="7" max="7" width="9.375" style="153" customWidth="1"/>
    <col min="8" max="8" width="2.75" style="153" customWidth="1"/>
    <col min="9" max="9" width="9.375" style="153" customWidth="1"/>
    <col min="10" max="10" width="2.75" style="153" customWidth="1"/>
    <col min="11" max="11" width="9.25" style="153" customWidth="1"/>
    <col min="12" max="12" width="2.75" style="153" customWidth="1"/>
    <col min="13" max="13" width="9.375" style="153" customWidth="1"/>
    <col min="14" max="14" width="2.75" style="153" customWidth="1"/>
    <col min="15" max="15" width="9.375" style="153" customWidth="1"/>
    <col min="16" max="16" width="2.75" style="153" customWidth="1"/>
    <col min="17" max="17" width="9.375" style="153" customWidth="1"/>
    <col min="18" max="18" width="2.75" style="153" customWidth="1"/>
    <col min="19" max="19" width="8.25" style="153" customWidth="1"/>
    <col min="20" max="20" width="0" style="153" hidden="1" customWidth="1"/>
    <col min="21" max="21" width="11.75" style="153" hidden="1" customWidth="1"/>
    <col min="22" max="16384" width="8.75" style="153"/>
  </cols>
  <sheetData>
    <row r="1" spans="3:24" ht="6" customHeight="1" x14ac:dyDescent="0.25"/>
    <row r="2" spans="3:24" s="183" customFormat="1" ht="26.45" customHeight="1" x14ac:dyDescent="0.3">
      <c r="C2" s="245" t="s">
        <v>172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3:24" ht="10.9" customHeight="1" thickBot="1" x14ac:dyDescent="0.3"/>
    <row r="4" spans="3:24" s="158" customFormat="1" ht="23.45" customHeight="1" x14ac:dyDescent="0.25">
      <c r="C4" s="184"/>
      <c r="D4" s="185"/>
      <c r="E4" s="185"/>
      <c r="F4" s="256" t="s">
        <v>77</v>
      </c>
      <c r="G4" s="256"/>
      <c r="H4" s="256"/>
      <c r="I4" s="256"/>
      <c r="J4" s="191"/>
      <c r="L4" s="255" t="s">
        <v>76</v>
      </c>
      <c r="M4" s="256"/>
      <c r="N4" s="256"/>
      <c r="O4" s="256"/>
      <c r="P4" s="256"/>
      <c r="Q4" s="256"/>
      <c r="R4" s="256"/>
      <c r="S4" s="257"/>
    </row>
    <row r="5" spans="3:24" ht="16.5" thickBot="1" x14ac:dyDescent="0.3">
      <c r="C5" s="173"/>
      <c r="D5" s="174"/>
      <c r="E5" s="174"/>
      <c r="F5" s="174"/>
      <c r="G5" s="174"/>
      <c r="H5" s="174"/>
      <c r="I5" s="174"/>
      <c r="J5" s="156"/>
      <c r="K5" s="155"/>
      <c r="L5" s="154"/>
      <c r="M5" s="155"/>
      <c r="N5" s="155"/>
      <c r="O5" s="155"/>
      <c r="P5" s="155"/>
      <c r="Q5" s="155"/>
      <c r="R5" s="155"/>
      <c r="S5" s="156"/>
    </row>
    <row r="6" spans="3:24" ht="20.45" customHeight="1" thickBot="1" x14ac:dyDescent="0.3">
      <c r="C6" s="173"/>
      <c r="D6" s="174"/>
      <c r="E6" s="174"/>
      <c r="F6" s="174"/>
      <c r="G6" s="175" t="s">
        <v>62</v>
      </c>
      <c r="H6" s="174"/>
      <c r="I6" s="152">
        <v>2700</v>
      </c>
      <c r="J6" s="156"/>
      <c r="K6" s="155"/>
      <c r="L6" s="154"/>
      <c r="M6" s="155"/>
      <c r="N6" s="155"/>
      <c r="O6" s="155"/>
      <c r="P6" s="155"/>
      <c r="Q6" s="155"/>
      <c r="R6" s="155"/>
      <c r="S6" s="156"/>
    </row>
    <row r="7" spans="3:24" ht="20.45" customHeight="1" thickBot="1" x14ac:dyDescent="0.3">
      <c r="C7" s="173"/>
      <c r="D7" s="174"/>
      <c r="E7" s="174"/>
      <c r="F7" s="174"/>
      <c r="G7" s="175" t="s">
        <v>75</v>
      </c>
      <c r="H7" s="174"/>
      <c r="I7" s="152">
        <v>596</v>
      </c>
      <c r="J7" s="156"/>
      <c r="K7" s="155"/>
      <c r="L7" s="154"/>
      <c r="M7" s="155"/>
      <c r="N7" s="155"/>
      <c r="O7" s="155"/>
      <c r="P7" s="155"/>
      <c r="Q7" s="155"/>
      <c r="R7" s="155"/>
      <c r="S7" s="156"/>
    </row>
    <row r="8" spans="3:24" x14ac:dyDescent="0.25">
      <c r="C8" s="173"/>
      <c r="D8" s="174"/>
      <c r="E8" s="174"/>
      <c r="F8" s="174"/>
      <c r="G8" s="174"/>
      <c r="H8" s="174"/>
      <c r="I8" s="174"/>
      <c r="J8" s="156"/>
      <c r="K8" s="155"/>
      <c r="L8" s="154"/>
      <c r="M8" s="155"/>
      <c r="N8" s="155"/>
      <c r="O8" s="155"/>
      <c r="P8" s="155"/>
      <c r="Q8" s="155"/>
      <c r="R8" s="155"/>
      <c r="S8" s="156"/>
      <c r="W8" s="155"/>
      <c r="X8" s="155"/>
    </row>
    <row r="9" spans="3:24" ht="17.45" customHeight="1" x14ac:dyDescent="0.25">
      <c r="C9" s="173"/>
      <c r="D9" s="174"/>
      <c r="E9" s="174"/>
      <c r="F9" s="288" t="str">
        <f>IF(T12=1,"  • стандартная ширина: 296, 446, 496, 596 мм","")</f>
        <v xml:space="preserve">  • стандартная ширина: 296, 446, 496, 596 мм</v>
      </c>
      <c r="G9" s="288"/>
      <c r="H9" s="288"/>
      <c r="I9" s="288"/>
      <c r="J9" s="289"/>
      <c r="K9" s="155"/>
      <c r="L9" s="154"/>
      <c r="M9" s="155"/>
      <c r="N9" s="155"/>
      <c r="O9" s="155"/>
      <c r="P9" s="155"/>
      <c r="Q9" s="155"/>
      <c r="R9" s="155"/>
      <c r="S9" s="156"/>
    </row>
    <row r="10" spans="3:24" ht="21" customHeight="1" x14ac:dyDescent="0.25">
      <c r="C10" s="278" t="s">
        <v>157</v>
      </c>
      <c r="D10" s="279"/>
      <c r="E10" s="279"/>
      <c r="F10" s="258" t="str">
        <f>IF(T12=1,"  • при выборе нестандартного размера: 
    максимальная ширина  - 650 мм","")</f>
        <v xml:space="preserve">  • при выборе нестандартного размера: 
    максимальная ширина  - 650 мм</v>
      </c>
      <c r="G10" s="258"/>
      <c r="H10" s="258"/>
      <c r="I10" s="258"/>
      <c r="J10" s="259"/>
      <c r="K10" s="155"/>
      <c r="L10" s="154"/>
      <c r="M10" s="155"/>
      <c r="N10" s="155"/>
      <c r="O10" s="155"/>
      <c r="P10" s="155"/>
      <c r="Q10" s="155"/>
      <c r="R10" s="155"/>
      <c r="S10" s="156"/>
    </row>
    <row r="11" spans="3:24" s="159" customFormat="1" ht="28.9" customHeight="1" thickBot="1" x14ac:dyDescent="0.3">
      <c r="C11" s="280"/>
      <c r="D11" s="281"/>
      <c r="E11" s="281"/>
      <c r="F11" s="176" t="s">
        <v>168</v>
      </c>
      <c r="G11" s="177"/>
      <c r="H11" s="177"/>
      <c r="I11" s="177"/>
      <c r="J11" s="192"/>
      <c r="K11" s="190"/>
      <c r="L11" s="198"/>
      <c r="M11" s="246" t="s">
        <v>177</v>
      </c>
      <c r="N11" s="246"/>
      <c r="O11" s="246"/>
      <c r="P11" s="151"/>
      <c r="Q11" s="246" t="s">
        <v>167</v>
      </c>
      <c r="R11" s="246"/>
      <c r="S11" s="247"/>
    </row>
    <row r="12" spans="3:24" s="160" customFormat="1" ht="16.149999999999999" hidden="1" customHeight="1" x14ac:dyDescent="0.25">
      <c r="K12" s="188"/>
      <c r="L12" s="187"/>
      <c r="M12" s="187"/>
      <c r="N12" s="187" t="s">
        <v>141</v>
      </c>
      <c r="O12" s="187"/>
      <c r="P12" s="187"/>
      <c r="Q12" s="187"/>
      <c r="R12" s="187"/>
      <c r="S12" s="187"/>
      <c r="T12" s="188">
        <v>1</v>
      </c>
      <c r="U12" s="188"/>
    </row>
    <row r="13" spans="3:24" ht="18" customHeight="1" thickBot="1" x14ac:dyDescent="0.3"/>
    <row r="14" spans="3:24" s="161" customFormat="1" ht="23.45" customHeight="1" x14ac:dyDescent="0.25">
      <c r="C14" s="255" t="s">
        <v>78</v>
      </c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7"/>
    </row>
    <row r="15" spans="3:24" ht="4.9000000000000004" customHeight="1" x14ac:dyDescent="0.25">
      <c r="C15" s="154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6"/>
    </row>
    <row r="16" spans="3:24" ht="38.450000000000003" customHeight="1" x14ac:dyDescent="0.25">
      <c r="C16" s="154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6"/>
    </row>
    <row r="17" spans="2:21" ht="16.149999999999999" customHeight="1" x14ac:dyDescent="0.25">
      <c r="C17" s="154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6"/>
    </row>
    <row r="18" spans="2:21" s="162" customFormat="1" ht="24.75" thickBot="1" x14ac:dyDescent="0.3">
      <c r="B18" s="162">
        <v>1</v>
      </c>
      <c r="C18" s="178" t="s">
        <v>123</v>
      </c>
      <c r="D18" s="179"/>
      <c r="E18" s="179" t="s">
        <v>1</v>
      </c>
      <c r="F18" s="179"/>
      <c r="G18" s="179" t="s">
        <v>3</v>
      </c>
      <c r="H18" s="179"/>
      <c r="I18" s="179" t="s">
        <v>2</v>
      </c>
      <c r="J18" s="179"/>
      <c r="K18" s="179" t="s">
        <v>74</v>
      </c>
      <c r="L18" s="179"/>
      <c r="M18" s="179" t="s">
        <v>176</v>
      </c>
      <c r="N18" s="179"/>
      <c r="O18" s="179" t="s">
        <v>9</v>
      </c>
      <c r="P18" s="179"/>
      <c r="Q18" s="179" t="s">
        <v>8</v>
      </c>
      <c r="R18" s="179"/>
      <c r="S18" s="180" t="s">
        <v>7</v>
      </c>
      <c r="U18" s="162" t="str">
        <f>IF(B18=C19,C18,IF(B18=E19,E18,IF(B18=G19,G18,IF(B18=I19,I18,IF(B18=K19,K18,IF(B18=O19,O18,IF(B18=Q19,Q18,IF(B18=S19,S18,IF(B18=M19,M18)))))))))</f>
        <v>черный (неро)</v>
      </c>
    </row>
    <row r="19" spans="2:21" s="163" customFormat="1" ht="26.45" hidden="1" customHeight="1" x14ac:dyDescent="0.25">
      <c r="B19" s="163" t="str">
        <f>IF(B18=1,"NE",IF(B18=2,"A",IF(B18=3,"C",IF(B18=4,"U",IF(B18=5,"OI",IF(B18=6,"L",IF(B18=7,"G",IF(B18=8,"N",IF(B18=9,"IG")))))))))</f>
        <v>NE</v>
      </c>
      <c r="C19" s="189">
        <v>1</v>
      </c>
      <c r="D19" s="189"/>
      <c r="E19" s="189">
        <v>2</v>
      </c>
      <c r="F19" s="189"/>
      <c r="G19" s="189">
        <v>3</v>
      </c>
      <c r="H19" s="189"/>
      <c r="I19" s="189">
        <v>4</v>
      </c>
      <c r="J19" s="189"/>
      <c r="K19" s="189">
        <v>5</v>
      </c>
      <c r="L19" s="189"/>
      <c r="M19" s="189">
        <v>9</v>
      </c>
      <c r="N19" s="189"/>
      <c r="O19" s="189">
        <v>6</v>
      </c>
      <c r="P19" s="189"/>
      <c r="Q19" s="189">
        <v>7</v>
      </c>
      <c r="R19" s="189"/>
      <c r="S19" s="189">
        <v>8</v>
      </c>
    </row>
    <row r="20" spans="2:21" s="163" customFormat="1" ht="26.45" hidden="1" customHeight="1" x14ac:dyDescent="0.25">
      <c r="C20" s="167" t="s">
        <v>144</v>
      </c>
      <c r="D20" s="167"/>
      <c r="E20" s="167" t="s">
        <v>145</v>
      </c>
      <c r="F20" s="167"/>
      <c r="G20" s="167" t="s">
        <v>146</v>
      </c>
      <c r="H20" s="167"/>
      <c r="I20" s="167" t="s">
        <v>147</v>
      </c>
      <c r="J20" s="167"/>
      <c r="K20" s="167" t="s">
        <v>148</v>
      </c>
      <c r="L20" s="167"/>
      <c r="M20" s="167" t="s">
        <v>178</v>
      </c>
      <c r="N20" s="167"/>
      <c r="O20" s="167" t="s">
        <v>149</v>
      </c>
      <c r="P20" s="167"/>
      <c r="Q20" s="167" t="s">
        <v>150</v>
      </c>
      <c r="R20" s="167"/>
      <c r="S20" s="167" t="s">
        <v>151</v>
      </c>
    </row>
    <row r="21" spans="2:21" s="163" customFormat="1" ht="16.899999999999999" customHeight="1" thickBot="1" x14ac:dyDescent="0.3"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</row>
    <row r="22" spans="2:21" s="163" customFormat="1" ht="26.45" customHeight="1" x14ac:dyDescent="0.25">
      <c r="C22" s="260" t="s">
        <v>165</v>
      </c>
      <c r="D22" s="261"/>
      <c r="E22" s="261"/>
      <c r="F22" s="261"/>
      <c r="G22" s="262"/>
      <c r="H22" s="167"/>
      <c r="I22" s="260" t="s">
        <v>171</v>
      </c>
      <c r="J22" s="261"/>
      <c r="K22" s="261"/>
      <c r="L22" s="261"/>
      <c r="M22" s="262"/>
      <c r="N22" s="167"/>
      <c r="O22" s="260" t="s">
        <v>166</v>
      </c>
      <c r="P22" s="261"/>
      <c r="Q22" s="261"/>
      <c r="R22" s="261"/>
      <c r="S22" s="262"/>
    </row>
    <row r="23" spans="2:21" s="163" customFormat="1" ht="12" x14ac:dyDescent="0.25">
      <c r="C23" s="195"/>
      <c r="D23" s="167"/>
      <c r="E23" s="167"/>
      <c r="F23" s="167"/>
      <c r="G23" s="196"/>
      <c r="H23" s="167"/>
      <c r="I23" s="195"/>
      <c r="J23" s="167"/>
      <c r="K23" s="167"/>
      <c r="L23" s="167"/>
      <c r="M23" s="196"/>
      <c r="N23" s="167"/>
      <c r="O23" s="195"/>
      <c r="P23" s="167"/>
      <c r="Q23" s="167"/>
      <c r="R23" s="167"/>
      <c r="S23" s="196"/>
    </row>
    <row r="24" spans="2:21" s="205" customFormat="1" ht="25.9" customHeight="1" x14ac:dyDescent="0.2">
      <c r="C24" s="206"/>
      <c r="D24" s="207"/>
      <c r="E24" s="290" t="s">
        <v>129</v>
      </c>
      <c r="F24" s="290"/>
      <c r="G24" s="208" t="str">
        <f>CONCATENATE('цены расчет'!H86," шт.")</f>
        <v>5 шт.</v>
      </c>
      <c r="H24" s="207"/>
      <c r="I24" s="206"/>
      <c r="J24" s="207"/>
      <c r="K24" s="290" t="s">
        <v>129</v>
      </c>
      <c r="L24" s="290"/>
      <c r="M24" s="208" t="str">
        <f>CONCATENATE('цены расчет'!H87," шт.")</f>
        <v>0 шт.</v>
      </c>
      <c r="N24" s="207"/>
      <c r="O24" s="206"/>
      <c r="P24" s="207"/>
      <c r="Q24" s="290" t="s">
        <v>129</v>
      </c>
      <c r="R24" s="290"/>
      <c r="S24" s="209"/>
    </row>
    <row r="25" spans="2:21" s="163" customFormat="1" ht="25.9" customHeight="1" x14ac:dyDescent="0.25">
      <c r="C25" s="195"/>
      <c r="D25" s="167"/>
      <c r="E25" s="290" t="s">
        <v>130</v>
      </c>
      <c r="F25" s="290"/>
      <c r="G25" s="200"/>
      <c r="H25" s="167"/>
      <c r="I25" s="195"/>
      <c r="J25" s="167"/>
      <c r="K25" s="290" t="s">
        <v>130</v>
      </c>
      <c r="L25" s="290"/>
      <c r="M25" s="199"/>
      <c r="N25" s="167"/>
      <c r="O25" s="195"/>
      <c r="P25" s="167"/>
      <c r="Q25" s="290" t="s">
        <v>130</v>
      </c>
      <c r="R25" s="290"/>
      <c r="S25" s="196"/>
    </row>
    <row r="26" spans="2:21" s="163" customFormat="1" ht="16.5" thickBot="1" x14ac:dyDescent="0.3">
      <c r="C26" s="164"/>
      <c r="D26" s="165"/>
      <c r="E26" s="157"/>
      <c r="F26" s="201"/>
      <c r="G26" s="202"/>
      <c r="H26" s="167"/>
      <c r="I26" s="164"/>
      <c r="J26" s="165"/>
      <c r="K26" s="157"/>
      <c r="L26" s="203"/>
      <c r="M26" s="204"/>
      <c r="N26" s="167"/>
      <c r="O26" s="164"/>
      <c r="P26" s="165"/>
      <c r="Q26" s="157"/>
      <c r="R26" s="165"/>
      <c r="S26" s="166"/>
    </row>
    <row r="27" spans="2:21" s="168" customFormat="1" hidden="1" x14ac:dyDescent="0.25">
      <c r="D27" s="168">
        <v>1</v>
      </c>
      <c r="H27" s="168">
        <v>2</v>
      </c>
      <c r="K27" s="153"/>
      <c r="L27" s="153"/>
      <c r="N27" s="168">
        <v>1</v>
      </c>
    </row>
    <row r="28" spans="2:21" s="169" customFormat="1" ht="16.5" thickBot="1" x14ac:dyDescent="0.3">
      <c r="G28" s="197"/>
      <c r="H28" s="197"/>
      <c r="I28" s="263" t="str">
        <f>IF(AND(D27=2,H27=1),"добавьте присадки под чашечку петли","")</f>
        <v/>
      </c>
      <c r="J28" s="263"/>
      <c r="K28" s="263"/>
      <c r="L28" s="263"/>
      <c r="M28" s="263"/>
    </row>
    <row r="29" spans="2:21" s="170" customFormat="1" ht="32.450000000000003" customHeight="1" thickBot="1" x14ac:dyDescent="0.3">
      <c r="C29" s="252" t="s">
        <v>71</v>
      </c>
      <c r="D29" s="253"/>
      <c r="E29" s="253"/>
      <c r="F29" s="248" t="s">
        <v>143</v>
      </c>
      <c r="G29" s="254"/>
      <c r="H29" s="254"/>
      <c r="I29" s="254"/>
      <c r="J29" s="254"/>
      <c r="K29" s="254"/>
      <c r="L29" s="254"/>
      <c r="M29" s="254"/>
      <c r="N29" s="254"/>
      <c r="O29" s="249"/>
      <c r="P29" s="248" t="s">
        <v>155</v>
      </c>
      <c r="Q29" s="249"/>
      <c r="R29" s="250" t="s">
        <v>169</v>
      </c>
      <c r="S29" s="251"/>
    </row>
    <row r="30" spans="2:21" s="171" customFormat="1" ht="24" customHeight="1" x14ac:dyDescent="0.25">
      <c r="C30" s="282" t="str">
        <f>CONCATENATE(I6,".",I7,B19,"-",IF(D27=1,'цены расчет'!H86,0),IF(H27=1,"F",""))</f>
        <v>2700.596NE-5</v>
      </c>
      <c r="D30" s="283"/>
      <c r="E30" s="283"/>
      <c r="F30" s="286" t="str">
        <f>CONCATENATE("Фасад SHINE в разборе ",IF(T12=1,"с узким горизонтальным профилем ","с запилом под 45° "),I6,"х",I7,", ",U18,
IF(D27=1,CONCATENATE(" с присадками ",F24)," без присадок"),
IF(H27=1,CONCATENATE(" с петлями ",L24)," без петель"),
IF(N27=1," с ручкой"," без ручки"))</f>
        <v>Фасад SHINE в разборе с узким горизонтальным профилем 2700х596, черный (неро) с присадками  без петель с ручкой</v>
      </c>
      <c r="G30" s="286"/>
      <c r="H30" s="286"/>
      <c r="I30" s="286"/>
      <c r="J30" s="286"/>
      <c r="K30" s="286"/>
      <c r="L30" s="286"/>
      <c r="M30" s="286"/>
      <c r="N30" s="286"/>
      <c r="O30" s="286"/>
      <c r="P30" s="291">
        <f>'цены расчет'!I92</f>
        <v>18044.400000000001</v>
      </c>
      <c r="Q30" s="291"/>
      <c r="R30" s="295">
        <v>0.1</v>
      </c>
      <c r="S30" s="296"/>
    </row>
    <row r="31" spans="2:21" s="171" customFormat="1" ht="24" customHeight="1" thickBot="1" x14ac:dyDescent="0.3">
      <c r="C31" s="284"/>
      <c r="D31" s="285"/>
      <c r="E31" s="285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92"/>
      <c r="Q31" s="292"/>
      <c r="R31" s="293">
        <f>P30*(100%-R30)</f>
        <v>16239.960000000001</v>
      </c>
      <c r="S31" s="294"/>
    </row>
    <row r="33" spans="3:22" x14ac:dyDescent="0.25">
      <c r="C33" s="181" t="s">
        <v>188</v>
      </c>
      <c r="P33" s="194"/>
      <c r="S33" s="182"/>
      <c r="T33" s="182"/>
      <c r="U33" s="182"/>
      <c r="V33" s="182"/>
    </row>
    <row r="34" spans="3:22" x14ac:dyDescent="0.25">
      <c r="C34" s="277" t="s">
        <v>174</v>
      </c>
      <c r="D34" s="277"/>
      <c r="E34" s="277"/>
      <c r="F34" s="277"/>
      <c r="G34" s="277"/>
      <c r="H34" s="277"/>
      <c r="I34" s="277"/>
      <c r="J34" s="277"/>
      <c r="K34" s="277"/>
      <c r="L34" s="186"/>
      <c r="M34" s="186"/>
      <c r="S34" s="182"/>
      <c r="T34" s="182"/>
      <c r="U34" s="182"/>
      <c r="V34" s="182"/>
    </row>
    <row r="35" spans="3:22" x14ac:dyDescent="0.25">
      <c r="C35" s="277" t="s">
        <v>175</v>
      </c>
      <c r="D35" s="277"/>
      <c r="E35" s="277"/>
      <c r="F35" s="277"/>
      <c r="G35" s="277"/>
      <c r="H35" s="277"/>
      <c r="I35" s="277"/>
      <c r="J35" s="277"/>
      <c r="K35" s="277"/>
      <c r="L35" s="186"/>
      <c r="M35" s="186"/>
      <c r="S35" s="182"/>
      <c r="T35" s="182"/>
      <c r="U35" s="182"/>
      <c r="V35" s="182"/>
    </row>
    <row r="36" spans="3:22" ht="16.5" thickBot="1" x14ac:dyDescent="0.3">
      <c r="C36" s="181"/>
      <c r="S36" s="182"/>
      <c r="T36" s="182"/>
      <c r="U36" s="182"/>
      <c r="V36" s="182"/>
    </row>
    <row r="37" spans="3:22" s="171" customFormat="1" ht="26.45" customHeight="1" thickBot="1" x14ac:dyDescent="0.3">
      <c r="C37" s="264" t="s">
        <v>70</v>
      </c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65"/>
    </row>
    <row r="38" spans="3:22" s="172" customFormat="1" ht="21" customHeight="1" x14ac:dyDescent="0.25">
      <c r="C38" s="271" t="s">
        <v>156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3"/>
      <c r="Q38" s="266" t="str">
        <f>CONCATENATE('цены расчет'!L92," кг")</f>
        <v>18,11 кг</v>
      </c>
      <c r="R38" s="267"/>
      <c r="S38" s="268"/>
    </row>
    <row r="39" spans="3:22" s="172" customFormat="1" ht="21" customHeight="1" thickBot="1" x14ac:dyDescent="0.3">
      <c r="C39" s="274" t="s">
        <v>173</v>
      </c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6"/>
      <c r="Q39" s="269" t="str">
        <f>CONCATENATE('цены расчет'!C90,"х",'цены расчет'!C91," мм")</f>
        <v>2687х497 мм</v>
      </c>
      <c r="R39" s="269"/>
      <c r="S39" s="270"/>
    </row>
  </sheetData>
  <sheetProtection algorithmName="SHA-512" hashValue="jJOccQ1PhDIXtwywOnjkTA8AmTbcppPjVKKM/aOZK/aKH8vx7efV8KWgOZ+qVq9V5LI0HiG/YWk6+fTXt7h78w==" saltValue="JB7egAHIuvhM6zbWQq07Uw==" spinCount="100000" sheet="1" objects="1" scenarios="1"/>
  <mergeCells count="35">
    <mergeCell ref="P30:Q31"/>
    <mergeCell ref="R31:S31"/>
    <mergeCell ref="R30:S30"/>
    <mergeCell ref="M11:O11"/>
    <mergeCell ref="L4:S4"/>
    <mergeCell ref="K24:L24"/>
    <mergeCell ref="K25:L25"/>
    <mergeCell ref="Q24:R24"/>
    <mergeCell ref="Q25:R25"/>
    <mergeCell ref="C34:K34"/>
    <mergeCell ref="C35:K35"/>
    <mergeCell ref="F4:I4"/>
    <mergeCell ref="C10:E11"/>
    <mergeCell ref="C30:E31"/>
    <mergeCell ref="F30:O31"/>
    <mergeCell ref="F9:J9"/>
    <mergeCell ref="E24:F24"/>
    <mergeCell ref="E25:F25"/>
    <mergeCell ref="C37:S37"/>
    <mergeCell ref="Q38:S38"/>
    <mergeCell ref="Q39:S39"/>
    <mergeCell ref="C38:P38"/>
    <mergeCell ref="C39:P39"/>
    <mergeCell ref="C2:S2"/>
    <mergeCell ref="Q11:S11"/>
    <mergeCell ref="P29:Q29"/>
    <mergeCell ref="R29:S29"/>
    <mergeCell ref="C29:E29"/>
    <mergeCell ref="F29:O29"/>
    <mergeCell ref="C14:S14"/>
    <mergeCell ref="F10:J10"/>
    <mergeCell ref="C22:G22"/>
    <mergeCell ref="I22:M22"/>
    <mergeCell ref="O22:S22"/>
    <mergeCell ref="I28:M28"/>
  </mergeCells>
  <conditionalFormatting sqref="C18">
    <cfRule type="expression" dxfId="26" priority="62">
      <formula>$B$18=C19</formula>
    </cfRule>
  </conditionalFormatting>
  <conditionalFormatting sqref="E18">
    <cfRule type="expression" dxfId="25" priority="61">
      <formula>$B$18=E19</formula>
    </cfRule>
  </conditionalFormatting>
  <conditionalFormatting sqref="G18">
    <cfRule type="expression" dxfId="24" priority="60">
      <formula>$B$18=G19</formula>
    </cfRule>
  </conditionalFormatting>
  <conditionalFormatting sqref="I18">
    <cfRule type="expression" dxfId="23" priority="59">
      <formula>$B$18=I19</formula>
    </cfRule>
  </conditionalFormatting>
  <conditionalFormatting sqref="K18:M18">
    <cfRule type="expression" dxfId="22" priority="58">
      <formula>$B$18=K19</formula>
    </cfRule>
  </conditionalFormatting>
  <conditionalFormatting sqref="O18">
    <cfRule type="expression" dxfId="21" priority="57">
      <formula>$B$18=O19</formula>
    </cfRule>
  </conditionalFormatting>
  <conditionalFormatting sqref="Q18">
    <cfRule type="expression" dxfId="20" priority="56">
      <formula>$B$18=Q19</formula>
    </cfRule>
  </conditionalFormatting>
  <conditionalFormatting sqref="S18">
    <cfRule type="expression" dxfId="19" priority="55">
      <formula>$B$18=S19</formula>
    </cfRule>
  </conditionalFormatting>
  <conditionalFormatting sqref="M11">
    <cfRule type="expression" dxfId="18" priority="44">
      <formula>$T$12=1</formula>
    </cfRule>
  </conditionalFormatting>
  <conditionalFormatting sqref="Q11">
    <cfRule type="expression" dxfId="17" priority="43">
      <formula>$T$12=2</formula>
    </cfRule>
  </conditionalFormatting>
  <conditionalFormatting sqref="I7">
    <cfRule type="expression" dxfId="16" priority="30">
      <formula>AND($T$12=1,$I$7&gt;650)</formula>
    </cfRule>
  </conditionalFormatting>
  <conditionalFormatting sqref="C33">
    <cfRule type="expression" dxfId="15" priority="29">
      <formula>B4=2</formula>
    </cfRule>
  </conditionalFormatting>
  <conditionalFormatting sqref="C36">
    <cfRule type="expression" dxfId="14" priority="64">
      <formula>B5=2</formula>
    </cfRule>
  </conditionalFormatting>
  <conditionalFormatting sqref="C34:C35">
    <cfRule type="expression" dxfId="13" priority="66">
      <formula>B5=2</formula>
    </cfRule>
  </conditionalFormatting>
  <conditionalFormatting sqref="E24:F24">
    <cfRule type="expression" dxfId="12" priority="8">
      <formula>$D$27=1</formula>
    </cfRule>
  </conditionalFormatting>
  <conditionalFormatting sqref="E25:F25">
    <cfRule type="expression" dxfId="11" priority="7">
      <formula>$D$27=2</formula>
    </cfRule>
  </conditionalFormatting>
  <conditionalFormatting sqref="K24:L24">
    <cfRule type="expression" dxfId="10" priority="6">
      <formula>$H$27=1</formula>
    </cfRule>
  </conditionalFormatting>
  <conditionalFormatting sqref="K25:L25">
    <cfRule type="expression" dxfId="9" priority="5">
      <formula>$H$27=2</formula>
    </cfRule>
  </conditionalFormatting>
  <conditionalFormatting sqref="Q24:R24">
    <cfRule type="expression" dxfId="8" priority="4">
      <formula>$N$27=1</formula>
    </cfRule>
  </conditionalFormatting>
  <conditionalFormatting sqref="Q25:R25">
    <cfRule type="expression" dxfId="7" priority="3">
      <formula>$N$27=2</formula>
    </cfRule>
  </conditionalFormatting>
  <conditionalFormatting sqref="G24">
    <cfRule type="expression" dxfId="6" priority="2">
      <formula>$D$27=2</formula>
    </cfRule>
  </conditionalFormatting>
  <conditionalFormatting sqref="M24">
    <cfRule type="expression" dxfId="5" priority="1">
      <formula>$H$27=2</formula>
    </cfRule>
  </conditionalFormatting>
  <dataValidations count="1">
    <dataValidation type="decimal" allowBlank="1" showInputMessage="1" showErrorMessage="1" sqref="I6" xr:uid="{00000000-0002-0000-0100-000000000000}">
      <formula1>100</formula1>
      <formula2>2700</formula2>
    </dataValidation>
  </dataValidations>
  <hyperlinks>
    <hyperlink ref="C10:E11" r:id="rId1" display="https://www.schock.ru/upload/iblock/440/144ffonlmshagn4ctfbbu7q0sd22z88f/SHINE-Colors.pdf" xr:uid="{00000000-0004-0000-0100-000000000000}"/>
    <hyperlink ref="C35:K35" r:id="rId2" display="скачать форму заказа с запилом под 45°" xr:uid="{4C003C94-AA12-4252-B54C-4D8713EB2B6F}"/>
    <hyperlink ref="C34:K34" r:id="rId3" display="скачать форму заказа с узким горизонтальным профилем" xr:uid="{1787393C-73F5-4300-83C8-06F78BF8038E}"/>
  </hyperlinks>
  <pageMargins left="0.7" right="0.7" top="0.75" bottom="0.75" header="0.3" footer="0.3"/>
  <pageSetup paperSize="9" orientation="portrait" r:id="rId4"/>
  <ignoredErrors>
    <ignoredError sqref="I28 G24 M24" unlockedFormula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51" r:id="rId7" name="Option Button 59">
              <controlPr defaultSize="0" autoFill="0" autoLine="0" autoPict="0">
                <anchor moveWithCells="1">
                  <from>
                    <xdr:col>2</xdr:col>
                    <xdr:colOff>228600</xdr:colOff>
                    <xdr:row>16</xdr:row>
                    <xdr:rowOff>19050</xdr:rowOff>
                  </from>
                  <to>
                    <xdr:col>2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8" name="Option Button 67">
              <controlPr defaultSize="0" autoFill="0" autoLine="0" autoPict="0">
                <anchor moveWithCells="1">
                  <from>
                    <xdr:col>4</xdr:col>
                    <xdr:colOff>228600</xdr:colOff>
                    <xdr:row>16</xdr:row>
                    <xdr:rowOff>19050</xdr:rowOff>
                  </from>
                  <to>
                    <xdr:col>4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9" name="Option Button 68">
              <controlPr defaultSize="0" autoFill="0" autoLine="0" autoPict="0">
                <anchor moveWithCells="1">
                  <from>
                    <xdr:col>6</xdr:col>
                    <xdr:colOff>228600</xdr:colOff>
                    <xdr:row>16</xdr:row>
                    <xdr:rowOff>19050</xdr:rowOff>
                  </from>
                  <to>
                    <xdr:col>6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10" name="Option Button 69">
              <controlPr defaultSize="0" autoFill="0" autoLine="0" autoPict="0">
                <anchor moveWithCells="1">
                  <from>
                    <xdr:col>8</xdr:col>
                    <xdr:colOff>228600</xdr:colOff>
                    <xdr:row>16</xdr:row>
                    <xdr:rowOff>19050</xdr:rowOff>
                  </from>
                  <to>
                    <xdr:col>8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11" name="Option Button 70">
              <controlPr defaultSize="0" autoFill="0" autoLine="0" autoPict="0">
                <anchor moveWithCells="1">
                  <from>
                    <xdr:col>10</xdr:col>
                    <xdr:colOff>228600</xdr:colOff>
                    <xdr:row>16</xdr:row>
                    <xdr:rowOff>19050</xdr:rowOff>
                  </from>
                  <to>
                    <xdr:col>10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12" name="Option Button 71">
              <controlPr defaultSize="0" autoFill="0" autoLine="0" autoPict="0">
                <anchor moveWithCells="1">
                  <from>
                    <xdr:col>14</xdr:col>
                    <xdr:colOff>228600</xdr:colOff>
                    <xdr:row>16</xdr:row>
                    <xdr:rowOff>19050</xdr:rowOff>
                  </from>
                  <to>
                    <xdr:col>14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13" name="Option Button 72">
              <controlPr defaultSize="0" autoFill="0" autoLine="0" autoPict="0">
                <anchor moveWithCells="1">
                  <from>
                    <xdr:col>16</xdr:col>
                    <xdr:colOff>228600</xdr:colOff>
                    <xdr:row>16</xdr:row>
                    <xdr:rowOff>19050</xdr:rowOff>
                  </from>
                  <to>
                    <xdr:col>16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14" name="Option Button 73">
              <controlPr defaultSize="0" autoFill="0" autoLine="0" autoPict="0">
                <anchor moveWithCells="1">
                  <from>
                    <xdr:col>18</xdr:col>
                    <xdr:colOff>228600</xdr:colOff>
                    <xdr:row>16</xdr:row>
                    <xdr:rowOff>19050</xdr:rowOff>
                  </from>
                  <to>
                    <xdr:col>18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15" name="Option Button 74">
              <controlPr defaultSize="0" autoFill="0" autoLine="0" autoPict="0">
                <anchor moveWithCells="1">
                  <from>
                    <xdr:col>12</xdr:col>
                    <xdr:colOff>38100</xdr:colOff>
                    <xdr:row>10</xdr:row>
                    <xdr:rowOff>57150</xdr:rowOff>
                  </from>
                  <to>
                    <xdr:col>14</xdr:col>
                    <xdr:colOff>590550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6" name="Group Box 76">
              <controlPr defaultSize="0" autoFill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17" name="Option Button 78">
              <controlPr defaultSize="0" autoFill="0" autoLine="0" autoPict="0">
                <anchor moveWithCells="1">
                  <from>
                    <xdr:col>16</xdr:col>
                    <xdr:colOff>66675</xdr:colOff>
                    <xdr:row>10</xdr:row>
                    <xdr:rowOff>38100</xdr:rowOff>
                  </from>
                  <to>
                    <xdr:col>18</xdr:col>
                    <xdr:colOff>571500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18" name="Option Button 79">
              <controlPr defaultSize="0" autoFill="0" autoLine="0" autoPict="0">
                <anchor moveWithCells="1">
                  <from>
                    <xdr:col>12</xdr:col>
                    <xdr:colOff>228600</xdr:colOff>
                    <xdr:row>16</xdr:row>
                    <xdr:rowOff>19050</xdr:rowOff>
                  </from>
                  <to>
                    <xdr:col>12</xdr:col>
                    <xdr:colOff>542925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19" name="Group Box 81">
              <controlPr defaultSize="0" autoFill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20" name="Group Box 82">
              <controlPr defaultSize="0" autoFill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21" name="Group Box 83">
              <controlPr defaultSize="0" autoFill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22" name="Option Button 84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57150</xdr:rowOff>
                  </from>
                  <to>
                    <xdr:col>4</xdr:col>
                    <xdr:colOff>676275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23" name="Option Button 86">
              <controlPr defaultSize="0" autoFill="0" autoLine="0" autoPict="0">
                <anchor moveWithCells="1">
                  <from>
                    <xdr:col>4</xdr:col>
                    <xdr:colOff>133350</xdr:colOff>
                    <xdr:row>24</xdr:row>
                    <xdr:rowOff>38100</xdr:rowOff>
                  </from>
                  <to>
                    <xdr:col>4</xdr:col>
                    <xdr:colOff>676275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24" name="Option Button 87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57150</xdr:rowOff>
                  </from>
                  <to>
                    <xdr:col>10</xdr:col>
                    <xdr:colOff>676275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25" name="Option Button 88">
              <controlPr defaultSize="0" autoFill="0" autoLine="0" autoPict="0">
                <anchor moveWithCells="1">
                  <from>
                    <xdr:col>10</xdr:col>
                    <xdr:colOff>133350</xdr:colOff>
                    <xdr:row>24</xdr:row>
                    <xdr:rowOff>38100</xdr:rowOff>
                  </from>
                  <to>
                    <xdr:col>10</xdr:col>
                    <xdr:colOff>676275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26" name="Option Button 89">
              <controlPr defaultSize="0" autoFill="0" autoLine="0" autoPict="0">
                <anchor moveWithCells="1">
                  <from>
                    <xdr:col>16</xdr:col>
                    <xdr:colOff>133350</xdr:colOff>
                    <xdr:row>23</xdr:row>
                    <xdr:rowOff>57150</xdr:rowOff>
                  </from>
                  <to>
                    <xdr:col>16</xdr:col>
                    <xdr:colOff>676275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27" name="Option Button 90">
              <controlPr defaultSize="0" autoFill="0" autoLine="0" autoPict="0">
                <anchor moveWithCells="1">
                  <from>
                    <xdr:col>16</xdr:col>
                    <xdr:colOff>133350</xdr:colOff>
                    <xdr:row>24</xdr:row>
                    <xdr:rowOff>38100</xdr:rowOff>
                  </from>
                  <to>
                    <xdr:col>16</xdr:col>
                    <xdr:colOff>676275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28" name="Group Box 91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L92"/>
  <sheetViews>
    <sheetView topLeftCell="A93" zoomScale="80" zoomScaleNormal="80" workbookViewId="0">
      <selection activeCell="B125" sqref="B125"/>
    </sheetView>
  </sheetViews>
  <sheetFormatPr defaultRowHeight="15.75" x14ac:dyDescent="0.25"/>
  <cols>
    <col min="1" max="1" width="16.25" customWidth="1"/>
    <col min="2" max="2" width="69.75" customWidth="1"/>
    <col min="3" max="3" width="17.375" style="40" customWidth="1"/>
    <col min="4" max="5" width="7.25" style="101" customWidth="1"/>
    <col min="6" max="6" width="9.875" customWidth="1"/>
    <col min="7" max="7" width="5.625" customWidth="1"/>
    <col min="8" max="8" width="11.375" bestFit="1" customWidth="1"/>
    <col min="9" max="9" width="15.625" style="53" customWidth="1"/>
    <col min="11" max="11" width="15.625" style="53" customWidth="1"/>
  </cols>
  <sheetData>
    <row r="3" spans="1:11" ht="16.5" hidden="1" thickBot="1" x14ac:dyDescent="0.3">
      <c r="J3" s="101" t="s">
        <v>99</v>
      </c>
    </row>
    <row r="4" spans="1:11" hidden="1" x14ac:dyDescent="0.25">
      <c r="A4" s="70" t="s">
        <v>16</v>
      </c>
      <c r="B4" s="62" t="s">
        <v>91</v>
      </c>
      <c r="C4" s="41" t="s">
        <v>74</v>
      </c>
      <c r="D4" s="44" t="s">
        <v>89</v>
      </c>
      <c r="E4" s="96"/>
      <c r="F4" s="37">
        <v>1400</v>
      </c>
      <c r="G4" s="14">
        <v>5</v>
      </c>
      <c r="H4" s="13">
        <f>IF(AND(SHINE!$T$12=1,SHINE!$B$18=G4,SHINE!$I$7=296),2,0)</f>
        <v>0</v>
      </c>
      <c r="I4" s="54">
        <f t="shared" ref="I4:I48" si="0">F4*H4</f>
        <v>0</v>
      </c>
      <c r="J4">
        <v>0.22</v>
      </c>
      <c r="K4" s="54">
        <f>IF(SHINE!$T$12=1,'цены расчет'!H4*SHINE!$I$7*J4/1000,0)</f>
        <v>0</v>
      </c>
    </row>
    <row r="5" spans="1:11" hidden="1" x14ac:dyDescent="0.25">
      <c r="A5" s="71" t="s">
        <v>58</v>
      </c>
      <c r="B5" s="63" t="s">
        <v>91</v>
      </c>
      <c r="C5" s="42" t="s">
        <v>9</v>
      </c>
      <c r="D5" s="45" t="s">
        <v>89</v>
      </c>
      <c r="E5" s="97"/>
      <c r="F5" s="38">
        <v>1400</v>
      </c>
      <c r="G5" s="7">
        <v>6</v>
      </c>
      <c r="H5" s="6">
        <f>IF(AND(SHINE!$T$12=1,SHINE!$B$18=G5,SHINE!$I$7=296),2,0)</f>
        <v>0</v>
      </c>
      <c r="I5" s="55">
        <f t="shared" si="0"/>
        <v>0</v>
      </c>
      <c r="J5">
        <v>0.22</v>
      </c>
      <c r="K5" s="55">
        <f>IF(SHINE!$T$12=1,'цены расчет'!H5*SHINE!$I$7*J5/1000,0)</f>
        <v>0</v>
      </c>
    </row>
    <row r="6" spans="1:11" hidden="1" x14ac:dyDescent="0.25">
      <c r="A6" s="71" t="s">
        <v>18</v>
      </c>
      <c r="B6" s="63" t="s">
        <v>91</v>
      </c>
      <c r="C6" s="42" t="s">
        <v>8</v>
      </c>
      <c r="D6" s="45" t="s">
        <v>89</v>
      </c>
      <c r="E6" s="97"/>
      <c r="F6" s="38">
        <v>1400</v>
      </c>
      <c r="G6" s="7">
        <v>7</v>
      </c>
      <c r="H6" s="6">
        <f>IF(AND(SHINE!$T$12=1,SHINE!$B$18=G6,SHINE!$I$7=296),2,0)</f>
        <v>0</v>
      </c>
      <c r="I6" s="55">
        <f t="shared" si="0"/>
        <v>0</v>
      </c>
      <c r="J6">
        <v>0.22</v>
      </c>
      <c r="K6" s="55">
        <f>IF(SHINE!$T$12=1,'цены расчет'!H6*SHINE!$I$7*J6/1000,0)</f>
        <v>0</v>
      </c>
    </row>
    <row r="7" spans="1:11" hidden="1" x14ac:dyDescent="0.25">
      <c r="A7" s="71" t="s">
        <v>179</v>
      </c>
      <c r="B7" s="63" t="s">
        <v>91</v>
      </c>
      <c r="C7" s="42" t="s">
        <v>176</v>
      </c>
      <c r="D7" s="45" t="s">
        <v>89</v>
      </c>
      <c r="E7" s="97"/>
      <c r="F7" s="38">
        <v>1400</v>
      </c>
      <c r="G7" s="7">
        <v>9</v>
      </c>
      <c r="H7" s="6">
        <f>IF(AND(SHINE!$T$12=1,SHINE!$B$18=G7,SHINE!$I$7=296),2,0)</f>
        <v>0</v>
      </c>
      <c r="I7" s="55">
        <f t="shared" ref="I7" si="1">F7*H7</f>
        <v>0</v>
      </c>
      <c r="J7">
        <v>0.22</v>
      </c>
      <c r="K7" s="55">
        <f>IF(SHINE!$T$12=1,'цены расчет'!H7*SHINE!$I$7*J7/1000,0)</f>
        <v>0</v>
      </c>
    </row>
    <row r="8" spans="1:11" hidden="1" x14ac:dyDescent="0.25">
      <c r="A8" s="71" t="s">
        <v>17</v>
      </c>
      <c r="B8" s="63" t="s">
        <v>91</v>
      </c>
      <c r="C8" s="42" t="s">
        <v>7</v>
      </c>
      <c r="D8" s="45" t="s">
        <v>89</v>
      </c>
      <c r="E8" s="97"/>
      <c r="F8" s="38">
        <v>1400</v>
      </c>
      <c r="G8" s="7">
        <v>8</v>
      </c>
      <c r="H8" s="6">
        <f>IF(AND(SHINE!$T$12=1,SHINE!$B$18=G8,SHINE!$I$7=296),2,0)</f>
        <v>0</v>
      </c>
      <c r="I8" s="55">
        <f t="shared" si="0"/>
        <v>0</v>
      </c>
      <c r="J8">
        <v>0.22</v>
      </c>
      <c r="K8" s="55">
        <f>IF(SHINE!$T$12=1,'цены расчет'!H8*SHINE!$I$7*J8/1000,0)</f>
        <v>0</v>
      </c>
    </row>
    <row r="9" spans="1:11" hidden="1" x14ac:dyDescent="0.25">
      <c r="A9" s="71" t="s">
        <v>15</v>
      </c>
      <c r="B9" s="63" t="s">
        <v>91</v>
      </c>
      <c r="C9" s="42" t="s">
        <v>88</v>
      </c>
      <c r="D9" s="45" t="s">
        <v>89</v>
      </c>
      <c r="E9" s="97"/>
      <c r="F9" s="38">
        <v>1050</v>
      </c>
      <c r="G9" s="7">
        <v>3</v>
      </c>
      <c r="H9" s="6">
        <f>IF(AND(SHINE!$T$12=1,SHINE!$B$18=G9,SHINE!$I$7=296),2,0)</f>
        <v>0</v>
      </c>
      <c r="I9" s="55">
        <f t="shared" si="0"/>
        <v>0</v>
      </c>
      <c r="J9">
        <v>0.22</v>
      </c>
      <c r="K9" s="55">
        <f>IF(SHINE!$T$12=1,'цены расчет'!H9*SHINE!$I$7*J9/1000,0)</f>
        <v>0</v>
      </c>
    </row>
    <row r="10" spans="1:11" hidden="1" x14ac:dyDescent="0.25">
      <c r="A10" s="71" t="s">
        <v>13</v>
      </c>
      <c r="B10" s="63" t="s">
        <v>91</v>
      </c>
      <c r="C10" s="42" t="s">
        <v>1</v>
      </c>
      <c r="D10" s="45" t="s">
        <v>89</v>
      </c>
      <c r="E10" s="97"/>
      <c r="F10" s="38">
        <v>1050</v>
      </c>
      <c r="G10" s="7">
        <v>2</v>
      </c>
      <c r="H10" s="6">
        <f>IF(AND(SHINE!$T$12=1,SHINE!$B$18=G10,SHINE!$I$7=296),2,0)</f>
        <v>0</v>
      </c>
      <c r="I10" s="55">
        <f t="shared" si="0"/>
        <v>0</v>
      </c>
      <c r="J10">
        <v>0.22</v>
      </c>
      <c r="K10" s="55">
        <f>IF(SHINE!$T$12=1,'цены расчет'!H10*SHINE!$I$7*J10/1000,0)</f>
        <v>0</v>
      </c>
    </row>
    <row r="11" spans="1:11" hidden="1" x14ac:dyDescent="0.25">
      <c r="A11" s="71" t="s">
        <v>14</v>
      </c>
      <c r="B11" s="63" t="s">
        <v>91</v>
      </c>
      <c r="C11" s="42" t="s">
        <v>2</v>
      </c>
      <c r="D11" s="45" t="s">
        <v>89</v>
      </c>
      <c r="E11" s="97"/>
      <c r="F11" s="38">
        <v>1050</v>
      </c>
      <c r="G11" s="7">
        <v>4</v>
      </c>
      <c r="H11" s="6">
        <f>IF(AND(SHINE!$T$12=1,SHINE!$B$18=G11,SHINE!$I$7=296),2,0)</f>
        <v>0</v>
      </c>
      <c r="I11" s="55">
        <f t="shared" si="0"/>
        <v>0</v>
      </c>
      <c r="J11">
        <v>0.22</v>
      </c>
      <c r="K11" s="55">
        <f>IF(SHINE!$T$12=1,'цены расчет'!H11*SHINE!$I$7*J11/1000,0)</f>
        <v>0</v>
      </c>
    </row>
    <row r="12" spans="1:11" ht="16.5" hidden="1" thickBot="1" x14ac:dyDescent="0.3">
      <c r="A12" s="71" t="s">
        <v>131</v>
      </c>
      <c r="B12" s="63" t="s">
        <v>91</v>
      </c>
      <c r="C12" s="42" t="s">
        <v>81</v>
      </c>
      <c r="D12" s="45" t="s">
        <v>89</v>
      </c>
      <c r="E12" s="97"/>
      <c r="F12" s="38">
        <v>840</v>
      </c>
      <c r="G12" s="7">
        <v>1</v>
      </c>
      <c r="H12" s="6">
        <f>IF(AND(SHINE!$T$12=1,SHINE!$B$18=G12,SHINE!$I$7=296),2,0)</f>
        <v>0</v>
      </c>
      <c r="I12" s="55">
        <f t="shared" si="0"/>
        <v>0</v>
      </c>
      <c r="J12">
        <v>0.22</v>
      </c>
      <c r="K12" s="55">
        <f>IF(SHINE!$T$12=1,'цены расчет'!H12*SHINE!$I$7*J12/1000,0)</f>
        <v>0</v>
      </c>
    </row>
    <row r="13" spans="1:11" hidden="1" x14ac:dyDescent="0.25">
      <c r="A13" s="70" t="s">
        <v>10</v>
      </c>
      <c r="B13" s="62" t="s">
        <v>92</v>
      </c>
      <c r="C13" s="41" t="s">
        <v>74</v>
      </c>
      <c r="D13" s="44" t="s">
        <v>89</v>
      </c>
      <c r="E13" s="96"/>
      <c r="F13" s="37">
        <v>1550</v>
      </c>
      <c r="G13" s="14">
        <v>5</v>
      </c>
      <c r="H13" s="13">
        <f>IF(AND(SHINE!$T$12=1,SHINE!$B$18=G13,SHINE!$I$7=446),2,0)</f>
        <v>0</v>
      </c>
      <c r="I13" s="54">
        <f t="shared" si="0"/>
        <v>0</v>
      </c>
      <c r="J13">
        <v>0.22</v>
      </c>
      <c r="K13" s="54">
        <f>IF(SHINE!$T$12=1,'цены расчет'!H13*SHINE!$I$7*J13/1000,0)</f>
        <v>0</v>
      </c>
    </row>
    <row r="14" spans="1:11" hidden="1" x14ac:dyDescent="0.25">
      <c r="A14" s="71" t="s">
        <v>57</v>
      </c>
      <c r="B14" s="63" t="s">
        <v>92</v>
      </c>
      <c r="C14" s="42" t="s">
        <v>9</v>
      </c>
      <c r="D14" s="45" t="s">
        <v>89</v>
      </c>
      <c r="E14" s="97"/>
      <c r="F14" s="38">
        <v>1550</v>
      </c>
      <c r="G14" s="7">
        <v>6</v>
      </c>
      <c r="H14" s="6">
        <f>IF(AND(SHINE!$T$12=1,SHINE!$B$18=G14,SHINE!$I$7=446),2,0)</f>
        <v>0</v>
      </c>
      <c r="I14" s="55">
        <f t="shared" si="0"/>
        <v>0</v>
      </c>
      <c r="J14">
        <v>0.22</v>
      </c>
      <c r="K14" s="55">
        <f>IF(SHINE!$T$12=1,'цены расчет'!H14*SHINE!$I$7*J14/1000,0)</f>
        <v>0</v>
      </c>
    </row>
    <row r="15" spans="1:11" hidden="1" x14ac:dyDescent="0.25">
      <c r="A15" s="71" t="s">
        <v>12</v>
      </c>
      <c r="B15" s="63" t="s">
        <v>92</v>
      </c>
      <c r="C15" s="42" t="s">
        <v>8</v>
      </c>
      <c r="D15" s="45" t="s">
        <v>89</v>
      </c>
      <c r="E15" s="97"/>
      <c r="F15" s="38">
        <v>1550</v>
      </c>
      <c r="G15" s="7">
        <v>7</v>
      </c>
      <c r="H15" s="6">
        <f>IF(AND(SHINE!$T$12=1,SHINE!$B$18=G15,SHINE!$I$7=446),2,0)</f>
        <v>0</v>
      </c>
      <c r="I15" s="55">
        <f t="shared" si="0"/>
        <v>0</v>
      </c>
      <c r="J15">
        <v>0.22</v>
      </c>
      <c r="K15" s="55">
        <f>IF(SHINE!$T$12=1,'цены расчет'!H15*SHINE!$I$7*J15/1000,0)</f>
        <v>0</v>
      </c>
    </row>
    <row r="16" spans="1:11" hidden="1" x14ac:dyDescent="0.25">
      <c r="A16" s="71" t="s">
        <v>180</v>
      </c>
      <c r="B16" s="63" t="s">
        <v>92</v>
      </c>
      <c r="C16" s="42" t="s">
        <v>176</v>
      </c>
      <c r="D16" s="45" t="s">
        <v>89</v>
      </c>
      <c r="E16" s="97"/>
      <c r="F16" s="38">
        <v>1550</v>
      </c>
      <c r="G16" s="193">
        <v>9</v>
      </c>
      <c r="H16" s="6">
        <f>IF(AND(SHINE!$T$12=1,SHINE!$B$18=G16,SHINE!$I$7=446),2,0)</f>
        <v>0</v>
      </c>
      <c r="I16" s="55">
        <f t="shared" ref="I16" si="2">F16*H16</f>
        <v>0</v>
      </c>
      <c r="J16">
        <v>0.22</v>
      </c>
      <c r="K16" s="55">
        <f>IF(SHINE!$T$12=1,'цены расчет'!H16*SHINE!$I$7*J16/1000,0)</f>
        <v>0</v>
      </c>
    </row>
    <row r="17" spans="1:11" hidden="1" x14ac:dyDescent="0.25">
      <c r="A17" s="71" t="s">
        <v>11</v>
      </c>
      <c r="B17" s="63" t="s">
        <v>92</v>
      </c>
      <c r="C17" s="42" t="s">
        <v>7</v>
      </c>
      <c r="D17" s="45" t="s">
        <v>89</v>
      </c>
      <c r="E17" s="97"/>
      <c r="F17" s="38">
        <v>1550</v>
      </c>
      <c r="G17" s="7">
        <v>8</v>
      </c>
      <c r="H17" s="6">
        <f>IF(AND(SHINE!$T$12=1,SHINE!$B$18=G17,SHINE!$I$7=446),2,0)</f>
        <v>0</v>
      </c>
      <c r="I17" s="55">
        <f t="shared" si="0"/>
        <v>0</v>
      </c>
      <c r="J17">
        <v>0.22</v>
      </c>
      <c r="K17" s="55">
        <f>IF(SHINE!$T$12=1,'цены расчет'!H17*SHINE!$I$7*J17/1000,0)</f>
        <v>0</v>
      </c>
    </row>
    <row r="18" spans="1:11" hidden="1" x14ac:dyDescent="0.25">
      <c r="A18" s="71" t="s">
        <v>5</v>
      </c>
      <c r="B18" s="63" t="s">
        <v>92</v>
      </c>
      <c r="C18" s="42" t="s">
        <v>88</v>
      </c>
      <c r="D18" s="45" t="s">
        <v>89</v>
      </c>
      <c r="E18" s="97"/>
      <c r="F18" s="38">
        <v>1350</v>
      </c>
      <c r="G18" s="7">
        <v>3</v>
      </c>
      <c r="H18" s="6">
        <f>IF(AND(SHINE!$T$12=1,SHINE!$B$18=G18,SHINE!$I$7=446),2,0)</f>
        <v>0</v>
      </c>
      <c r="I18" s="55">
        <f t="shared" si="0"/>
        <v>0</v>
      </c>
      <c r="J18">
        <v>0.22</v>
      </c>
      <c r="K18" s="55">
        <f>IF(SHINE!$T$12=1,'цены расчет'!H18*SHINE!$I$7*J18/1000,0)</f>
        <v>0</v>
      </c>
    </row>
    <row r="19" spans="1:11" hidden="1" x14ac:dyDescent="0.25">
      <c r="A19" s="71" t="s">
        <v>6</v>
      </c>
      <c r="B19" s="63" t="s">
        <v>92</v>
      </c>
      <c r="C19" s="42" t="s">
        <v>1</v>
      </c>
      <c r="D19" s="45" t="s">
        <v>89</v>
      </c>
      <c r="E19" s="97"/>
      <c r="F19" s="38">
        <v>1350</v>
      </c>
      <c r="G19" s="7">
        <v>2</v>
      </c>
      <c r="H19" s="6">
        <f>IF(AND(SHINE!$T$12=1,SHINE!$B$18=G19,SHINE!$I$7=446),2,0)</f>
        <v>0</v>
      </c>
      <c r="I19" s="55">
        <f t="shared" si="0"/>
        <v>0</v>
      </c>
      <c r="J19">
        <v>0.22</v>
      </c>
      <c r="K19" s="55">
        <f>IF(SHINE!$T$12=1,'цены расчет'!H19*SHINE!$I$7*J19/1000,0)</f>
        <v>0</v>
      </c>
    </row>
    <row r="20" spans="1:11" hidden="1" x14ac:dyDescent="0.25">
      <c r="A20" s="71" t="s">
        <v>4</v>
      </c>
      <c r="B20" s="63" t="s">
        <v>92</v>
      </c>
      <c r="C20" s="42" t="s">
        <v>2</v>
      </c>
      <c r="D20" s="45" t="s">
        <v>89</v>
      </c>
      <c r="E20" s="97"/>
      <c r="F20" s="38">
        <v>1350</v>
      </c>
      <c r="G20" s="7">
        <v>4</v>
      </c>
      <c r="H20" s="6">
        <f>IF(AND(SHINE!$T$12=1,SHINE!$B$18=G20,SHINE!$I$7=446),2,0)</f>
        <v>0</v>
      </c>
      <c r="I20" s="55">
        <f t="shared" si="0"/>
        <v>0</v>
      </c>
      <c r="J20">
        <v>0.22</v>
      </c>
      <c r="K20" s="117">
        <f>IF(SHINE!$T$12=1,'цены расчет'!H20*SHINE!$I$7*J20/1000,0)</f>
        <v>0</v>
      </c>
    </row>
    <row r="21" spans="1:11" ht="16.5" hidden="1" thickBot="1" x14ac:dyDescent="0.3">
      <c r="A21" s="71" t="s">
        <v>132</v>
      </c>
      <c r="B21" s="64" t="s">
        <v>92</v>
      </c>
      <c r="C21" s="43" t="s">
        <v>82</v>
      </c>
      <c r="D21" s="47" t="s">
        <v>89</v>
      </c>
      <c r="E21" s="97"/>
      <c r="F21" s="38">
        <v>1080</v>
      </c>
      <c r="G21" s="7">
        <v>1</v>
      </c>
      <c r="H21" s="6">
        <f>IF(AND(SHINE!$T$12=1,SHINE!$B$18=G21,SHINE!$I$7=446),2,0)</f>
        <v>0</v>
      </c>
      <c r="I21" s="56">
        <f t="shared" si="0"/>
        <v>0</v>
      </c>
      <c r="J21">
        <v>0.22</v>
      </c>
      <c r="K21" s="56">
        <f>IF(SHINE!$T$12=1,'цены расчет'!H21*SHINE!$I$7*J21/1000,0)</f>
        <v>0</v>
      </c>
    </row>
    <row r="22" spans="1:11" hidden="1" x14ac:dyDescent="0.25">
      <c r="A22" s="70" t="s">
        <v>22</v>
      </c>
      <c r="B22" s="62" t="s">
        <v>93</v>
      </c>
      <c r="C22" s="41" t="s">
        <v>74</v>
      </c>
      <c r="D22" s="44" t="s">
        <v>89</v>
      </c>
      <c r="E22" s="96"/>
      <c r="F22" s="37">
        <v>1700</v>
      </c>
      <c r="G22" s="14">
        <v>5</v>
      </c>
      <c r="H22" s="13">
        <f>IF(AND(SHINE!$T$12=1,SHINE!$B$18=G22,SHINE!$I$7=496),2,0)</f>
        <v>0</v>
      </c>
      <c r="I22" s="54">
        <f t="shared" si="0"/>
        <v>0</v>
      </c>
      <c r="J22">
        <v>0.22</v>
      </c>
      <c r="K22" s="54">
        <f>IF(SHINE!$T$12=1,'цены расчет'!H22*SHINE!$I$7*J22/1000,0)</f>
        <v>0</v>
      </c>
    </row>
    <row r="23" spans="1:11" hidden="1" x14ac:dyDescent="0.25">
      <c r="A23" s="71" t="s">
        <v>56</v>
      </c>
      <c r="B23" s="63" t="s">
        <v>93</v>
      </c>
      <c r="C23" s="42" t="s">
        <v>9</v>
      </c>
      <c r="D23" s="45" t="s">
        <v>89</v>
      </c>
      <c r="E23" s="97"/>
      <c r="F23" s="38">
        <v>1700</v>
      </c>
      <c r="G23" s="7">
        <v>6</v>
      </c>
      <c r="H23" s="6">
        <f>IF(AND(SHINE!$T$12=1,SHINE!$B$18=G23,SHINE!$I$7=496),2,0)</f>
        <v>0</v>
      </c>
      <c r="I23" s="55">
        <f t="shared" si="0"/>
        <v>0</v>
      </c>
      <c r="J23">
        <v>0.22</v>
      </c>
      <c r="K23" s="55">
        <f>IF(SHINE!$T$12=1,'цены расчет'!H23*SHINE!$I$7*J23/1000,0)</f>
        <v>0</v>
      </c>
    </row>
    <row r="24" spans="1:11" hidden="1" x14ac:dyDescent="0.25">
      <c r="A24" s="71" t="s">
        <v>24</v>
      </c>
      <c r="B24" s="63" t="s">
        <v>93</v>
      </c>
      <c r="C24" s="42" t="s">
        <v>8</v>
      </c>
      <c r="D24" s="45" t="s">
        <v>89</v>
      </c>
      <c r="E24" s="97"/>
      <c r="F24" s="38">
        <v>1700</v>
      </c>
      <c r="G24" s="7">
        <v>7</v>
      </c>
      <c r="H24" s="6">
        <f>IF(AND(SHINE!$T$12=1,SHINE!$B$18=G24,SHINE!$I$7=496),2,0)</f>
        <v>0</v>
      </c>
      <c r="I24" s="55">
        <f t="shared" si="0"/>
        <v>0</v>
      </c>
      <c r="J24">
        <v>0.22</v>
      </c>
      <c r="K24" s="55">
        <f>IF(SHINE!$T$12=1,'цены расчет'!H24*SHINE!$I$7*J24/1000,0)</f>
        <v>0</v>
      </c>
    </row>
    <row r="25" spans="1:11" hidden="1" x14ac:dyDescent="0.25">
      <c r="A25" s="71" t="s">
        <v>181</v>
      </c>
      <c r="B25" s="63" t="s">
        <v>93</v>
      </c>
      <c r="C25" s="42" t="s">
        <v>176</v>
      </c>
      <c r="D25" s="45" t="s">
        <v>89</v>
      </c>
      <c r="E25" s="97"/>
      <c r="F25" s="38">
        <v>1700</v>
      </c>
      <c r="G25" s="193">
        <v>9</v>
      </c>
      <c r="H25" s="6">
        <f>IF(AND(SHINE!$T$12=1,SHINE!$B$18=G25,SHINE!$I$7=496),2,0)</f>
        <v>0</v>
      </c>
      <c r="I25" s="55">
        <f t="shared" ref="I25" si="3">F25*H25</f>
        <v>0</v>
      </c>
      <c r="J25">
        <v>0.22</v>
      </c>
      <c r="K25" s="55">
        <f>IF(SHINE!$T$12=1,'цены расчет'!H25*SHINE!$I$7*J25/1000,0)</f>
        <v>0</v>
      </c>
    </row>
    <row r="26" spans="1:11" hidden="1" x14ac:dyDescent="0.25">
      <c r="A26" s="71" t="s">
        <v>23</v>
      </c>
      <c r="B26" s="63" t="s">
        <v>93</v>
      </c>
      <c r="C26" s="42" t="s">
        <v>7</v>
      </c>
      <c r="D26" s="45" t="s">
        <v>89</v>
      </c>
      <c r="E26" s="97"/>
      <c r="F26" s="38">
        <v>1700</v>
      </c>
      <c r="G26" s="7">
        <v>8</v>
      </c>
      <c r="H26" s="6">
        <f>IF(AND(SHINE!$T$12=1,SHINE!$B$18=G26,SHINE!$I$7=496),2,0)</f>
        <v>0</v>
      </c>
      <c r="I26" s="55">
        <f t="shared" si="0"/>
        <v>0</v>
      </c>
      <c r="J26">
        <v>0.22</v>
      </c>
      <c r="K26" s="55">
        <f>IF(SHINE!$T$12=1,'цены расчет'!H26*SHINE!$I$7*J26/1000,0)</f>
        <v>0</v>
      </c>
    </row>
    <row r="27" spans="1:11" hidden="1" x14ac:dyDescent="0.25">
      <c r="A27" s="71" t="s">
        <v>21</v>
      </c>
      <c r="B27" s="63" t="s">
        <v>93</v>
      </c>
      <c r="C27" s="42" t="s">
        <v>88</v>
      </c>
      <c r="D27" s="45" t="s">
        <v>89</v>
      </c>
      <c r="E27" s="97"/>
      <c r="F27" s="38">
        <v>1480</v>
      </c>
      <c r="G27" s="7">
        <v>3</v>
      </c>
      <c r="H27" s="6">
        <f>IF(AND(SHINE!$T$12=1,SHINE!$B$18=G27,SHINE!$I$7=496),2,0)</f>
        <v>0</v>
      </c>
      <c r="I27" s="55">
        <f t="shared" si="0"/>
        <v>0</v>
      </c>
      <c r="J27">
        <v>0.22</v>
      </c>
      <c r="K27" s="55">
        <f>IF(SHINE!$T$12=1,'цены расчет'!H27*SHINE!$I$7*J27/1000,0)</f>
        <v>0</v>
      </c>
    </row>
    <row r="28" spans="1:11" hidden="1" x14ac:dyDescent="0.25">
      <c r="A28" s="71" t="s">
        <v>19</v>
      </c>
      <c r="B28" s="63" t="s">
        <v>93</v>
      </c>
      <c r="C28" s="42" t="s">
        <v>1</v>
      </c>
      <c r="D28" s="45" t="s">
        <v>89</v>
      </c>
      <c r="E28" s="97"/>
      <c r="F28" s="38">
        <v>1480</v>
      </c>
      <c r="G28" s="7">
        <v>2</v>
      </c>
      <c r="H28" s="6">
        <f>IF(AND(SHINE!$T$12=1,SHINE!$B$18=G28,SHINE!$I$7=496),2,0)</f>
        <v>0</v>
      </c>
      <c r="I28" s="55">
        <f t="shared" si="0"/>
        <v>0</v>
      </c>
      <c r="J28">
        <v>0.22</v>
      </c>
      <c r="K28" s="55">
        <f>IF(SHINE!$T$12=1,'цены расчет'!H28*SHINE!$I$7*J28/1000,0)</f>
        <v>0</v>
      </c>
    </row>
    <row r="29" spans="1:11" hidden="1" x14ac:dyDescent="0.25">
      <c r="A29" s="71" t="s">
        <v>20</v>
      </c>
      <c r="B29" s="63" t="s">
        <v>93</v>
      </c>
      <c r="C29" s="42" t="s">
        <v>2</v>
      </c>
      <c r="D29" s="45" t="s">
        <v>89</v>
      </c>
      <c r="E29" s="97"/>
      <c r="F29" s="38">
        <v>1480</v>
      </c>
      <c r="G29" s="7">
        <v>4</v>
      </c>
      <c r="H29" s="6">
        <f>IF(AND(SHINE!$T$12=1,SHINE!$B$18=G29,SHINE!$I$7=496),2,0)</f>
        <v>0</v>
      </c>
      <c r="I29" s="55">
        <f t="shared" si="0"/>
        <v>0</v>
      </c>
      <c r="J29">
        <v>0.22</v>
      </c>
      <c r="K29" s="55">
        <f>IF(SHINE!$T$12=1,'цены расчет'!H29*SHINE!$I$7*J29/1000,0)</f>
        <v>0</v>
      </c>
    </row>
    <row r="30" spans="1:11" ht="16.5" hidden="1" thickBot="1" x14ac:dyDescent="0.3">
      <c r="A30" s="71" t="s">
        <v>133</v>
      </c>
      <c r="B30" s="63" t="s">
        <v>93</v>
      </c>
      <c r="C30" s="42" t="s">
        <v>81</v>
      </c>
      <c r="D30" s="45" t="s">
        <v>89</v>
      </c>
      <c r="E30" s="97"/>
      <c r="F30" s="38">
        <v>1190</v>
      </c>
      <c r="G30" s="7">
        <v>1</v>
      </c>
      <c r="H30" s="6">
        <f>IF(AND(SHINE!$T$12=1,SHINE!$B$18=G30,SHINE!$I$7=496),2,0)</f>
        <v>0</v>
      </c>
      <c r="I30" s="55">
        <f t="shared" si="0"/>
        <v>0</v>
      </c>
      <c r="J30">
        <v>0.22</v>
      </c>
      <c r="K30" s="55">
        <f>IF(SHINE!$T$12=1,'цены расчет'!H30*SHINE!$I$7*J30/1000,0)</f>
        <v>0</v>
      </c>
    </row>
    <row r="31" spans="1:11" hidden="1" x14ac:dyDescent="0.25">
      <c r="A31" s="70" t="s">
        <v>28</v>
      </c>
      <c r="B31" s="62" t="s">
        <v>94</v>
      </c>
      <c r="C31" s="41" t="s">
        <v>74</v>
      </c>
      <c r="D31" s="44" t="s">
        <v>89</v>
      </c>
      <c r="E31" s="96"/>
      <c r="F31" s="37">
        <v>1850</v>
      </c>
      <c r="G31" s="14">
        <v>5</v>
      </c>
      <c r="H31" s="13">
        <f>IF(AND(SHINE!$T$12=1,SHINE!$B$18=G31,SHINE!$I$7=596),2,0)</f>
        <v>0</v>
      </c>
      <c r="I31" s="54">
        <f t="shared" si="0"/>
        <v>0</v>
      </c>
      <c r="J31">
        <v>0.22</v>
      </c>
      <c r="K31" s="54">
        <f>IF(SHINE!$T$12=1,'цены расчет'!H31*SHINE!$I$7*J31/1000,0)</f>
        <v>0</v>
      </c>
    </row>
    <row r="32" spans="1:11" hidden="1" x14ac:dyDescent="0.25">
      <c r="A32" s="71" t="s">
        <v>55</v>
      </c>
      <c r="B32" s="63" t="s">
        <v>94</v>
      </c>
      <c r="C32" s="42" t="s">
        <v>9</v>
      </c>
      <c r="D32" s="45" t="s">
        <v>89</v>
      </c>
      <c r="E32" s="97"/>
      <c r="F32" s="38">
        <v>1850</v>
      </c>
      <c r="G32" s="7">
        <v>6</v>
      </c>
      <c r="H32" s="6">
        <f>IF(AND(SHINE!$T$12=1,SHINE!$B$18=G32,SHINE!$I$7=596),2,0)</f>
        <v>0</v>
      </c>
      <c r="I32" s="55">
        <f t="shared" si="0"/>
        <v>0</v>
      </c>
      <c r="J32">
        <v>0.22</v>
      </c>
      <c r="K32" s="55">
        <f>IF(SHINE!$T$12=1,'цены расчет'!H32*SHINE!$I$7*J32/1000,0)</f>
        <v>0</v>
      </c>
    </row>
    <row r="33" spans="1:11" hidden="1" x14ac:dyDescent="0.25">
      <c r="A33" s="71" t="s">
        <v>30</v>
      </c>
      <c r="B33" s="63" t="s">
        <v>94</v>
      </c>
      <c r="C33" s="42" t="s">
        <v>8</v>
      </c>
      <c r="D33" s="45" t="s">
        <v>89</v>
      </c>
      <c r="E33" s="97"/>
      <c r="F33" s="38">
        <v>1850</v>
      </c>
      <c r="G33" s="7">
        <v>7</v>
      </c>
      <c r="H33" s="6">
        <f>IF(AND(SHINE!$T$12=1,SHINE!$B$18=G33,SHINE!$I$7=596),2,0)</f>
        <v>0</v>
      </c>
      <c r="I33" s="55">
        <f t="shared" si="0"/>
        <v>0</v>
      </c>
      <c r="J33">
        <v>0.22</v>
      </c>
      <c r="K33" s="55">
        <f>IF(SHINE!$T$12=1,'цены расчет'!H33*SHINE!$I$7*J33/1000,0)</f>
        <v>0</v>
      </c>
    </row>
    <row r="34" spans="1:11" hidden="1" x14ac:dyDescent="0.25">
      <c r="A34" s="71" t="s">
        <v>182</v>
      </c>
      <c r="B34" s="63" t="s">
        <v>94</v>
      </c>
      <c r="C34" s="42" t="s">
        <v>176</v>
      </c>
      <c r="D34" s="45" t="s">
        <v>89</v>
      </c>
      <c r="E34" s="97"/>
      <c r="F34" s="38">
        <v>1850</v>
      </c>
      <c r="G34" s="193">
        <v>9</v>
      </c>
      <c r="H34" s="6">
        <f>IF(AND(SHINE!$T$12=1,SHINE!$B$18=G34,SHINE!$I$7=596),2,0)</f>
        <v>0</v>
      </c>
      <c r="I34" s="55">
        <f t="shared" ref="I34" si="4">F34*H34</f>
        <v>0</v>
      </c>
      <c r="J34">
        <v>0.22</v>
      </c>
      <c r="K34" s="55">
        <f>IF(SHINE!$T$12=1,'цены расчет'!H34*SHINE!$I$7*J34/1000,0)</f>
        <v>0</v>
      </c>
    </row>
    <row r="35" spans="1:11" hidden="1" x14ac:dyDescent="0.25">
      <c r="A35" s="71" t="s">
        <v>29</v>
      </c>
      <c r="B35" s="63" t="s">
        <v>94</v>
      </c>
      <c r="C35" s="42" t="s">
        <v>7</v>
      </c>
      <c r="D35" s="45" t="s">
        <v>89</v>
      </c>
      <c r="E35" s="97"/>
      <c r="F35" s="38">
        <v>1850</v>
      </c>
      <c r="G35" s="7">
        <v>8</v>
      </c>
      <c r="H35" s="6">
        <f>IF(AND(SHINE!$T$12=1,SHINE!$B$18=G35,SHINE!$I$7=596),2,0)</f>
        <v>0</v>
      </c>
      <c r="I35" s="55">
        <f t="shared" si="0"/>
        <v>0</v>
      </c>
      <c r="J35">
        <v>0.22</v>
      </c>
      <c r="K35" s="55">
        <f>IF(SHINE!$T$12=1,'цены расчет'!H35*SHINE!$I$7*J35/1000,0)</f>
        <v>0</v>
      </c>
    </row>
    <row r="36" spans="1:11" hidden="1" x14ac:dyDescent="0.25">
      <c r="A36" s="71" t="s">
        <v>27</v>
      </c>
      <c r="B36" s="63" t="s">
        <v>94</v>
      </c>
      <c r="C36" s="42" t="s">
        <v>88</v>
      </c>
      <c r="D36" s="45" t="s">
        <v>89</v>
      </c>
      <c r="E36" s="97"/>
      <c r="F36" s="38">
        <v>1650</v>
      </c>
      <c r="G36" s="7">
        <v>3</v>
      </c>
      <c r="H36" s="6">
        <f>IF(AND(SHINE!$T$12=1,SHINE!$B$18=G36,SHINE!$I$7=596),2,0)</f>
        <v>0</v>
      </c>
      <c r="I36" s="55">
        <f t="shared" si="0"/>
        <v>0</v>
      </c>
      <c r="J36">
        <v>0.22</v>
      </c>
      <c r="K36" s="55">
        <f>IF(SHINE!$T$12=1,'цены расчет'!H36*SHINE!$I$7*J36/1000,0)</f>
        <v>0</v>
      </c>
    </row>
    <row r="37" spans="1:11" hidden="1" x14ac:dyDescent="0.25">
      <c r="A37" s="71" t="s">
        <v>25</v>
      </c>
      <c r="B37" s="63" t="s">
        <v>94</v>
      </c>
      <c r="C37" s="42" t="s">
        <v>1</v>
      </c>
      <c r="D37" s="45" t="s">
        <v>89</v>
      </c>
      <c r="E37" s="97"/>
      <c r="F37" s="38">
        <v>1650</v>
      </c>
      <c r="G37" s="7">
        <v>2</v>
      </c>
      <c r="H37" s="6">
        <f>IF(AND(SHINE!$T$12=1,SHINE!$B$18=G37,SHINE!$I$7=596),2,0)</f>
        <v>0</v>
      </c>
      <c r="I37" s="55">
        <f t="shared" si="0"/>
        <v>0</v>
      </c>
      <c r="J37">
        <v>0.22</v>
      </c>
      <c r="K37" s="55">
        <f>IF(SHINE!$T$12=1,'цены расчет'!H37*SHINE!$I$7*J37/1000,0)</f>
        <v>0</v>
      </c>
    </row>
    <row r="38" spans="1:11" hidden="1" x14ac:dyDescent="0.25">
      <c r="A38" s="71" t="s">
        <v>26</v>
      </c>
      <c r="B38" s="63" t="s">
        <v>94</v>
      </c>
      <c r="C38" s="42" t="s">
        <v>2</v>
      </c>
      <c r="D38" s="45" t="s">
        <v>89</v>
      </c>
      <c r="E38" s="97"/>
      <c r="F38" s="38">
        <v>1650</v>
      </c>
      <c r="G38" s="7">
        <v>4</v>
      </c>
      <c r="H38" s="6">
        <f>IF(AND(SHINE!$T$12=1,SHINE!$B$18=G38,SHINE!$I$7=596),2,0)</f>
        <v>0</v>
      </c>
      <c r="I38" s="55">
        <f t="shared" si="0"/>
        <v>0</v>
      </c>
      <c r="J38">
        <v>0.22</v>
      </c>
      <c r="K38" s="55">
        <f>IF(SHINE!$T$12=1,'цены расчет'!H38*SHINE!$I$7*J38/1000,0)</f>
        <v>0</v>
      </c>
    </row>
    <row r="39" spans="1:11" ht="15" hidden="1" customHeight="1" thickBot="1" x14ac:dyDescent="0.3">
      <c r="A39" s="71" t="s">
        <v>134</v>
      </c>
      <c r="B39" s="63" t="s">
        <v>94</v>
      </c>
      <c r="C39" s="42" t="s">
        <v>81</v>
      </c>
      <c r="D39" s="45" t="s">
        <v>89</v>
      </c>
      <c r="E39" s="97"/>
      <c r="F39" s="38">
        <v>1320</v>
      </c>
      <c r="G39" s="7">
        <v>1</v>
      </c>
      <c r="H39" s="6">
        <f>IF(AND(SHINE!$T$12=1,SHINE!$B$18=G39,SHINE!$I$7=596),2,0)</f>
        <v>2</v>
      </c>
      <c r="I39" s="56">
        <f t="shared" si="0"/>
        <v>2640</v>
      </c>
      <c r="J39">
        <v>0.22</v>
      </c>
      <c r="K39" s="56">
        <f>IF(SHINE!$T$12=1,'цены расчет'!H39*SHINE!$I$7*J39/1000,0)</f>
        <v>0.26224000000000003</v>
      </c>
    </row>
    <row r="40" spans="1:11" hidden="1" x14ac:dyDescent="0.25">
      <c r="A40" s="70" t="s">
        <v>66</v>
      </c>
      <c r="B40" s="62" t="s">
        <v>142</v>
      </c>
      <c r="C40" s="41" t="s">
        <v>74</v>
      </c>
      <c r="D40" s="44" t="s">
        <v>89</v>
      </c>
      <c r="E40" s="96"/>
      <c r="F40" s="37">
        <v>2405</v>
      </c>
      <c r="G40" s="14">
        <v>5</v>
      </c>
      <c r="H40" s="2">
        <f>IF(AND(SHINE!$T$12=1,SHINE!$B$18=G40,SHINE!$I$7&lt;&gt;296,SHINE!$I$7&lt;&gt;446,SHINE!$I$7&lt;&gt;496,SHINE!$I$7&lt;&gt;596),2,0)</f>
        <v>0</v>
      </c>
      <c r="I40" s="54">
        <f t="shared" si="0"/>
        <v>0</v>
      </c>
      <c r="J40">
        <v>0.22</v>
      </c>
      <c r="K40" s="54">
        <f>SHINE!$I$7*H40*J40/1000</f>
        <v>0</v>
      </c>
    </row>
    <row r="41" spans="1:11" hidden="1" x14ac:dyDescent="0.25">
      <c r="A41" s="71" t="s">
        <v>69</v>
      </c>
      <c r="B41" s="63" t="s">
        <v>142</v>
      </c>
      <c r="C41" s="42" t="s">
        <v>9</v>
      </c>
      <c r="D41" s="45" t="s">
        <v>89</v>
      </c>
      <c r="E41" s="97"/>
      <c r="F41" s="38">
        <v>2405</v>
      </c>
      <c r="G41" s="7">
        <v>6</v>
      </c>
      <c r="H41" s="16">
        <f>IF(AND(SHINE!$T$12=1,SHINE!$B$18=G41,SHINE!$I$7&lt;&gt;296,SHINE!$I$7&lt;&gt;446,SHINE!$I$7&lt;&gt;496,SHINE!$I$7&lt;&gt;596),2,0)</f>
        <v>0</v>
      </c>
      <c r="I41" s="55">
        <f t="shared" si="0"/>
        <v>0</v>
      </c>
      <c r="J41">
        <v>0.22</v>
      </c>
      <c r="K41" s="55">
        <f>SHINE!$I$7*H41*J41/1000</f>
        <v>0</v>
      </c>
    </row>
    <row r="42" spans="1:11" hidden="1" x14ac:dyDescent="0.25">
      <c r="A42" s="71" t="s">
        <v>68</v>
      </c>
      <c r="B42" s="63" t="s">
        <v>142</v>
      </c>
      <c r="C42" s="42" t="s">
        <v>8</v>
      </c>
      <c r="D42" s="45" t="s">
        <v>89</v>
      </c>
      <c r="E42" s="97"/>
      <c r="F42" s="38">
        <v>2405</v>
      </c>
      <c r="G42" s="7">
        <v>7</v>
      </c>
      <c r="H42" s="16">
        <f>IF(AND(SHINE!$T$12=1,SHINE!$B$18=G42,SHINE!$I$7&lt;&gt;296,SHINE!$I$7&lt;&gt;446,SHINE!$I$7&lt;&gt;496,SHINE!$I$7&lt;&gt;596),2,0)</f>
        <v>0</v>
      </c>
      <c r="I42" s="55">
        <f t="shared" si="0"/>
        <v>0</v>
      </c>
      <c r="J42">
        <v>0.22</v>
      </c>
      <c r="K42" s="55">
        <f>SHINE!$I$7*H42*J42/1000</f>
        <v>0</v>
      </c>
    </row>
    <row r="43" spans="1:11" hidden="1" x14ac:dyDescent="0.25">
      <c r="A43" s="71" t="s">
        <v>183</v>
      </c>
      <c r="B43" s="63" t="s">
        <v>142</v>
      </c>
      <c r="C43" s="42" t="s">
        <v>176</v>
      </c>
      <c r="D43" s="45" t="s">
        <v>89</v>
      </c>
      <c r="E43" s="97"/>
      <c r="F43" s="38">
        <v>2405</v>
      </c>
      <c r="G43" s="193">
        <v>9</v>
      </c>
      <c r="H43" s="16">
        <f>IF(AND(SHINE!$T$12=1,SHINE!$B$18=G43,SHINE!$I$7&lt;&gt;296,SHINE!$I$7&lt;&gt;446,SHINE!$I$7&lt;&gt;496,SHINE!$I$7&lt;&gt;596),2,0)</f>
        <v>0</v>
      </c>
      <c r="I43" s="55">
        <f>F43*H43</f>
        <v>0</v>
      </c>
      <c r="J43">
        <v>0.22</v>
      </c>
      <c r="K43" s="55">
        <f>SHINE!$I$7*H43*J43/1000</f>
        <v>0</v>
      </c>
    </row>
    <row r="44" spans="1:11" hidden="1" x14ac:dyDescent="0.25">
      <c r="A44" s="71" t="s">
        <v>67</v>
      </c>
      <c r="B44" s="63" t="s">
        <v>142</v>
      </c>
      <c r="C44" s="42" t="s">
        <v>7</v>
      </c>
      <c r="D44" s="45" t="s">
        <v>89</v>
      </c>
      <c r="E44" s="97"/>
      <c r="F44" s="38">
        <v>2405</v>
      </c>
      <c r="G44" s="7">
        <v>8</v>
      </c>
      <c r="H44" s="16">
        <f>IF(AND(SHINE!$T$12=1,SHINE!$B$18=G44,SHINE!$I$7&lt;&gt;296,SHINE!$I$7&lt;&gt;446,SHINE!$I$7&lt;&gt;496,SHINE!$I$7&lt;&gt;596),2,0)</f>
        <v>0</v>
      </c>
      <c r="I44" s="55">
        <f t="shared" si="0"/>
        <v>0</v>
      </c>
      <c r="J44">
        <v>0.22</v>
      </c>
      <c r="K44" s="55">
        <f>SHINE!$I$7*H44*J44/1000</f>
        <v>0</v>
      </c>
    </row>
    <row r="45" spans="1:11" hidden="1" x14ac:dyDescent="0.25">
      <c r="A45" s="71" t="s">
        <v>65</v>
      </c>
      <c r="B45" s="63" t="s">
        <v>142</v>
      </c>
      <c r="C45" s="42" t="s">
        <v>88</v>
      </c>
      <c r="D45" s="45" t="s">
        <v>89</v>
      </c>
      <c r="E45" s="97"/>
      <c r="F45" s="38">
        <v>2145</v>
      </c>
      <c r="G45" s="7">
        <v>3</v>
      </c>
      <c r="H45" s="16">
        <f>IF(AND(SHINE!$T$12=1,SHINE!$B$18=G45,SHINE!$I$7&lt;&gt;296,SHINE!$I$7&lt;&gt;446,SHINE!$I$7&lt;&gt;496,SHINE!$I$7&lt;&gt;596),2,0)</f>
        <v>0</v>
      </c>
      <c r="I45" s="55">
        <f t="shared" si="0"/>
        <v>0</v>
      </c>
      <c r="J45">
        <v>0.22</v>
      </c>
      <c r="K45" s="55">
        <f>SHINE!$I$7*H45*J45/1000</f>
        <v>0</v>
      </c>
    </row>
    <row r="46" spans="1:11" hidden="1" x14ac:dyDescent="0.25">
      <c r="A46" s="71" t="s">
        <v>63</v>
      </c>
      <c r="B46" s="63" t="s">
        <v>142</v>
      </c>
      <c r="C46" s="42" t="s">
        <v>1</v>
      </c>
      <c r="D46" s="45" t="s">
        <v>89</v>
      </c>
      <c r="E46" s="97"/>
      <c r="F46" s="38">
        <v>2145</v>
      </c>
      <c r="G46" s="7">
        <v>2</v>
      </c>
      <c r="H46" s="16">
        <f>IF(AND(SHINE!$T$12=1,SHINE!$B$18=G46,SHINE!$I$7&lt;&gt;296,SHINE!$I$7&lt;&gt;446,SHINE!$I$7&lt;&gt;496,SHINE!$I$7&lt;&gt;596),2,0)</f>
        <v>0</v>
      </c>
      <c r="I46" s="55">
        <f t="shared" si="0"/>
        <v>0</v>
      </c>
      <c r="J46">
        <v>0.22</v>
      </c>
      <c r="K46" s="55">
        <f>SHINE!$I$7*H46*J46/1000</f>
        <v>0</v>
      </c>
    </row>
    <row r="47" spans="1:11" hidden="1" x14ac:dyDescent="0.25">
      <c r="A47" s="71" t="s">
        <v>64</v>
      </c>
      <c r="B47" s="63" t="s">
        <v>142</v>
      </c>
      <c r="C47" s="42" t="s">
        <v>2</v>
      </c>
      <c r="D47" s="45" t="s">
        <v>89</v>
      </c>
      <c r="E47" s="97"/>
      <c r="F47" s="38">
        <v>2145</v>
      </c>
      <c r="G47" s="7">
        <v>4</v>
      </c>
      <c r="H47" s="16">
        <f>IF(AND(SHINE!$T$12=1,SHINE!$B$18=G47,SHINE!$I$7&lt;&gt;296,SHINE!$I$7&lt;&gt;446,SHINE!$I$7&lt;&gt;496,SHINE!$I$7&lt;&gt;596),2,0)</f>
        <v>0</v>
      </c>
      <c r="I47" s="55">
        <f t="shared" si="0"/>
        <v>0</v>
      </c>
      <c r="J47">
        <v>0.22</v>
      </c>
      <c r="K47" s="55">
        <f>SHINE!$I$7*H47*J47/1000</f>
        <v>0</v>
      </c>
    </row>
    <row r="48" spans="1:11" ht="16.5" hidden="1" thickBot="1" x14ac:dyDescent="0.3">
      <c r="A48" s="71" t="s">
        <v>135</v>
      </c>
      <c r="B48" s="63" t="s">
        <v>142</v>
      </c>
      <c r="C48" s="42" t="s">
        <v>81</v>
      </c>
      <c r="D48" s="45" t="s">
        <v>89</v>
      </c>
      <c r="E48" s="97"/>
      <c r="F48" s="38">
        <v>1720</v>
      </c>
      <c r="G48" s="7">
        <v>1</v>
      </c>
      <c r="H48" s="3">
        <f>IF(AND(SHINE!$T$12=1,SHINE!$B$18=G48,SHINE!$I$7&lt;&gt;296,SHINE!$I$7&lt;&gt;446,SHINE!$I$7&lt;&gt;496,SHINE!$I$7&lt;&gt;596),2,0)</f>
        <v>0</v>
      </c>
      <c r="I48" s="56">
        <f t="shared" si="0"/>
        <v>0</v>
      </c>
      <c r="J48">
        <v>0.22</v>
      </c>
      <c r="K48" s="56">
        <f>SHINE!$I$7*H48*J48/1000</f>
        <v>0</v>
      </c>
    </row>
    <row r="49" spans="1:11" hidden="1" x14ac:dyDescent="0.25">
      <c r="A49" s="70" t="s">
        <v>34</v>
      </c>
      <c r="B49" s="65" t="s">
        <v>90</v>
      </c>
      <c r="C49" s="41" t="s">
        <v>74</v>
      </c>
      <c r="D49" s="44" t="s">
        <v>140</v>
      </c>
      <c r="E49" s="96"/>
      <c r="F49" s="37">
        <v>8780</v>
      </c>
      <c r="G49" s="14">
        <v>5</v>
      </c>
      <c r="H49" s="102">
        <f>IF(AND(SHINE!$T$12=1,SHINE!$B$18=G49),F49/3000*SHINE!$I$6,0)+IF(AND(SHINE!$T$12=2,SHINE!$B$18='цены расчет'!G49),(SHINE!$I$6+SHINE!$I$7)*'цены расчет'!F49/3000,0)</f>
        <v>0</v>
      </c>
      <c r="I49" s="55">
        <f>H49*2</f>
        <v>0</v>
      </c>
      <c r="J49">
        <v>0.754</v>
      </c>
      <c r="K49" s="55">
        <f t="shared" ref="K49:K57" si="5">J49*(I49*3000/F49/1000)</f>
        <v>0</v>
      </c>
    </row>
    <row r="50" spans="1:11" hidden="1" x14ac:dyDescent="0.25">
      <c r="A50" s="71" t="s">
        <v>59</v>
      </c>
      <c r="B50" s="66" t="s">
        <v>90</v>
      </c>
      <c r="C50" s="42" t="s">
        <v>9</v>
      </c>
      <c r="D50" s="45" t="s">
        <v>140</v>
      </c>
      <c r="E50" s="97"/>
      <c r="F50" s="38">
        <v>8780</v>
      </c>
      <c r="G50" s="7">
        <v>6</v>
      </c>
      <c r="H50" s="103">
        <f>IF(AND(SHINE!$T$12=1,SHINE!$B$18=G50),F50/3000*SHINE!$I$6,0)+IF(AND(SHINE!$T$12=2,SHINE!$B$18='цены расчет'!G50),(SHINE!$I$6+SHINE!$I$7)*'цены расчет'!F50/3000,0)</f>
        <v>0</v>
      </c>
      <c r="I50" s="55">
        <f t="shared" ref="I50:I57" si="6">H50*2</f>
        <v>0</v>
      </c>
      <c r="J50">
        <v>0.754</v>
      </c>
      <c r="K50" s="55">
        <f t="shared" si="5"/>
        <v>0</v>
      </c>
    </row>
    <row r="51" spans="1:11" hidden="1" x14ac:dyDescent="0.25">
      <c r="A51" s="71" t="s">
        <v>36</v>
      </c>
      <c r="B51" s="66" t="s">
        <v>90</v>
      </c>
      <c r="C51" s="42" t="s">
        <v>8</v>
      </c>
      <c r="D51" s="45" t="s">
        <v>140</v>
      </c>
      <c r="E51" s="97"/>
      <c r="F51" s="38">
        <v>8780</v>
      </c>
      <c r="G51" s="7">
        <v>7</v>
      </c>
      <c r="H51" s="103">
        <f>IF(AND(SHINE!$T$12=1,SHINE!$B$18=G51),F51/3000*SHINE!$I$6,0)+IF(AND(SHINE!$T$12=2,SHINE!$B$18='цены расчет'!G51),(SHINE!$I$6+SHINE!$I$7)*'цены расчет'!F51/3000,0)</f>
        <v>0</v>
      </c>
      <c r="I51" s="55">
        <f t="shared" si="6"/>
        <v>0</v>
      </c>
      <c r="J51">
        <v>0.754</v>
      </c>
      <c r="K51" s="55">
        <f t="shared" si="5"/>
        <v>0</v>
      </c>
    </row>
    <row r="52" spans="1:11" hidden="1" x14ac:dyDescent="0.25">
      <c r="A52" s="71" t="s">
        <v>184</v>
      </c>
      <c r="B52" s="66" t="s">
        <v>90</v>
      </c>
      <c r="C52" s="42" t="s">
        <v>176</v>
      </c>
      <c r="D52" s="45" t="s">
        <v>140</v>
      </c>
      <c r="E52" s="97"/>
      <c r="F52" s="38">
        <v>8780</v>
      </c>
      <c r="G52" s="193">
        <v>9</v>
      </c>
      <c r="H52" s="103">
        <f>IF(AND(SHINE!$T$12=1,SHINE!$B$18=G52),F52/3000*SHINE!$I$6,0)+IF(AND(SHINE!$T$12=2,SHINE!$B$18='цены расчет'!G52),(SHINE!$I$6+SHINE!$I$7)*'цены расчет'!F52/3000,0)</f>
        <v>0</v>
      </c>
      <c r="I52" s="55">
        <f t="shared" ref="I52" si="7">H52*2</f>
        <v>0</v>
      </c>
      <c r="J52">
        <v>0.754</v>
      </c>
      <c r="K52" s="55">
        <f t="shared" si="5"/>
        <v>0</v>
      </c>
    </row>
    <row r="53" spans="1:11" hidden="1" x14ac:dyDescent="0.25">
      <c r="A53" s="71" t="s">
        <v>35</v>
      </c>
      <c r="B53" s="66" t="s">
        <v>90</v>
      </c>
      <c r="C53" s="42" t="s">
        <v>7</v>
      </c>
      <c r="D53" s="45" t="s">
        <v>140</v>
      </c>
      <c r="E53" s="97"/>
      <c r="F53" s="38">
        <v>8780</v>
      </c>
      <c r="G53" s="7">
        <v>8</v>
      </c>
      <c r="H53" s="103">
        <f>IF(AND(SHINE!$T$12=1,SHINE!$B$18=G53),F53/3000*SHINE!$I$6,0)+IF(AND(SHINE!$T$12=2,SHINE!$B$18='цены расчет'!G53),(SHINE!$I$6+SHINE!$I$7)*'цены расчет'!F53/3000,0)</f>
        <v>0</v>
      </c>
      <c r="I53" s="55">
        <f t="shared" si="6"/>
        <v>0</v>
      </c>
      <c r="J53">
        <v>0.754</v>
      </c>
      <c r="K53" s="55">
        <f t="shared" si="5"/>
        <v>0</v>
      </c>
    </row>
    <row r="54" spans="1:11" hidden="1" x14ac:dyDescent="0.25">
      <c r="A54" s="71" t="s">
        <v>33</v>
      </c>
      <c r="B54" s="66" t="s">
        <v>90</v>
      </c>
      <c r="C54" s="42" t="s">
        <v>88</v>
      </c>
      <c r="D54" s="45" t="s">
        <v>140</v>
      </c>
      <c r="E54" s="97"/>
      <c r="F54" s="38">
        <v>7980</v>
      </c>
      <c r="G54" s="7">
        <v>3</v>
      </c>
      <c r="H54" s="103">
        <f>IF(AND(SHINE!$T$12=1,SHINE!$B$18=G54),F54/3000*SHINE!$I$6,0)+IF(AND(SHINE!$T$12=2,SHINE!$B$18='цены расчет'!G54),(SHINE!$I$6+SHINE!$I$7)*'цены расчет'!F54/3000,0)</f>
        <v>0</v>
      </c>
      <c r="I54" s="55">
        <f t="shared" si="6"/>
        <v>0</v>
      </c>
      <c r="J54">
        <v>0.754</v>
      </c>
      <c r="K54" s="55">
        <f t="shared" si="5"/>
        <v>0</v>
      </c>
    </row>
    <row r="55" spans="1:11" hidden="1" x14ac:dyDescent="0.25">
      <c r="A55" s="71" t="s">
        <v>31</v>
      </c>
      <c r="B55" s="66" t="s">
        <v>90</v>
      </c>
      <c r="C55" s="42" t="s">
        <v>1</v>
      </c>
      <c r="D55" s="45" t="s">
        <v>140</v>
      </c>
      <c r="E55" s="97"/>
      <c r="F55" s="38">
        <v>7980</v>
      </c>
      <c r="G55" s="7">
        <v>2</v>
      </c>
      <c r="H55" s="103">
        <f>IF(AND(SHINE!$T$12=1,SHINE!$B$18=G55),F55/3000*SHINE!$I$6,0)+IF(AND(SHINE!$T$12=2,SHINE!$B$18='цены расчет'!G55),(SHINE!$I$6+SHINE!$I$7)*'цены расчет'!F55/3000,0)</f>
        <v>0</v>
      </c>
      <c r="I55" s="55">
        <f t="shared" si="6"/>
        <v>0</v>
      </c>
      <c r="J55">
        <v>0.754</v>
      </c>
      <c r="K55" s="55">
        <f t="shared" si="5"/>
        <v>0</v>
      </c>
    </row>
    <row r="56" spans="1:11" hidden="1" x14ac:dyDescent="0.25">
      <c r="A56" s="71" t="s">
        <v>32</v>
      </c>
      <c r="B56" s="66" t="s">
        <v>90</v>
      </c>
      <c r="C56" s="42" t="s">
        <v>2</v>
      </c>
      <c r="D56" s="45" t="s">
        <v>140</v>
      </c>
      <c r="E56" s="97"/>
      <c r="F56" s="38">
        <v>7980</v>
      </c>
      <c r="G56" s="7">
        <v>4</v>
      </c>
      <c r="H56" s="103">
        <f>IF(AND(SHINE!$T$12=1,SHINE!$B$18=G56),F56/3000*SHINE!$I$6,0)+IF(AND(SHINE!$T$12=2,SHINE!$B$18='цены расчет'!G56),(SHINE!$I$6+SHINE!$I$7)*'цены расчет'!F56/3000,0)</f>
        <v>0</v>
      </c>
      <c r="I56" s="55">
        <f t="shared" si="6"/>
        <v>0</v>
      </c>
      <c r="J56">
        <v>0.754</v>
      </c>
      <c r="K56" s="117">
        <f>J56*(I56*3000/F56/1000)</f>
        <v>0</v>
      </c>
    </row>
    <row r="57" spans="1:11" ht="16.5" hidden="1" thickBot="1" x14ac:dyDescent="0.3">
      <c r="A57" s="71" t="s">
        <v>136</v>
      </c>
      <c r="B57" s="66" t="s">
        <v>90</v>
      </c>
      <c r="C57" s="42" t="s">
        <v>81</v>
      </c>
      <c r="D57" s="45" t="s">
        <v>140</v>
      </c>
      <c r="E57" s="97"/>
      <c r="F57" s="38">
        <v>6390</v>
      </c>
      <c r="G57" s="7">
        <v>1</v>
      </c>
      <c r="H57" s="103">
        <f>IF(AND(SHINE!$T$12=1,SHINE!$B$18=G57),F57/3000*SHINE!$I$6,0)+IF(AND(SHINE!$T$12=2,SHINE!$B$18='цены расчет'!G57),(SHINE!$I$6+SHINE!$I$7)*'цены расчет'!F57/3000,0)</f>
        <v>5751</v>
      </c>
      <c r="I57" s="55">
        <f t="shared" si="6"/>
        <v>11502</v>
      </c>
      <c r="J57">
        <v>0.754</v>
      </c>
      <c r="K57" s="55">
        <f t="shared" si="5"/>
        <v>4.0716000000000001</v>
      </c>
    </row>
    <row r="58" spans="1:11" hidden="1" x14ac:dyDescent="0.25">
      <c r="A58" s="70" t="s">
        <v>40</v>
      </c>
      <c r="B58" s="65" t="s">
        <v>95</v>
      </c>
      <c r="C58" s="41" t="s">
        <v>74</v>
      </c>
      <c r="D58" s="44" t="s">
        <v>89</v>
      </c>
      <c r="E58" s="96"/>
      <c r="F58" s="37">
        <v>1050</v>
      </c>
      <c r="G58" s="14">
        <v>5</v>
      </c>
      <c r="H58" s="13">
        <f>IF(AND(SHINE!$N$27=1,SHINE!$B$18='цены расчет'!G58),1,0)</f>
        <v>0</v>
      </c>
      <c r="I58" s="54">
        <f>F58*H58</f>
        <v>0</v>
      </c>
      <c r="J58" s="114">
        <v>0.22</v>
      </c>
      <c r="K58" s="54">
        <f>H58*J58</f>
        <v>0</v>
      </c>
    </row>
    <row r="59" spans="1:11" hidden="1" x14ac:dyDescent="0.25">
      <c r="A59" s="71" t="s">
        <v>60</v>
      </c>
      <c r="B59" s="66" t="s">
        <v>95</v>
      </c>
      <c r="C59" s="42" t="s">
        <v>9</v>
      </c>
      <c r="D59" s="45" t="s">
        <v>89</v>
      </c>
      <c r="E59" s="97"/>
      <c r="F59" s="38">
        <v>1050</v>
      </c>
      <c r="G59" s="7">
        <v>6</v>
      </c>
      <c r="H59" s="6">
        <f>IF(AND(SHINE!$N$27=1,SHINE!$B$18='цены расчет'!G59),1,0)</f>
        <v>0</v>
      </c>
      <c r="I59" s="55">
        <f t="shared" ref="I59:I66" si="8">F59*H59</f>
        <v>0</v>
      </c>
      <c r="J59" s="114">
        <v>0.22</v>
      </c>
      <c r="K59" s="55">
        <f t="shared" ref="K59:K85" si="9">H59*J59</f>
        <v>0</v>
      </c>
    </row>
    <row r="60" spans="1:11" hidden="1" x14ac:dyDescent="0.25">
      <c r="A60" s="71" t="s">
        <v>42</v>
      </c>
      <c r="B60" s="66" t="s">
        <v>95</v>
      </c>
      <c r="C60" s="42" t="s">
        <v>8</v>
      </c>
      <c r="D60" s="45" t="s">
        <v>89</v>
      </c>
      <c r="E60" s="97"/>
      <c r="F60" s="38">
        <v>1050</v>
      </c>
      <c r="G60" s="7">
        <v>7</v>
      </c>
      <c r="H60" s="6">
        <f>IF(AND(SHINE!$N$27=1,SHINE!$B$18='цены расчет'!G60),1,0)</f>
        <v>0</v>
      </c>
      <c r="I60" s="55">
        <f t="shared" si="8"/>
        <v>0</v>
      </c>
      <c r="J60" s="114">
        <v>0.22</v>
      </c>
      <c r="K60" s="55">
        <f t="shared" si="9"/>
        <v>0</v>
      </c>
    </row>
    <row r="61" spans="1:11" hidden="1" x14ac:dyDescent="0.25">
      <c r="A61" s="71" t="s">
        <v>185</v>
      </c>
      <c r="B61" s="66" t="s">
        <v>95</v>
      </c>
      <c r="C61" s="42" t="s">
        <v>176</v>
      </c>
      <c r="D61" s="45" t="s">
        <v>89</v>
      </c>
      <c r="E61" s="97"/>
      <c r="F61" s="38">
        <v>1050</v>
      </c>
      <c r="G61" s="193">
        <v>9</v>
      </c>
      <c r="H61" s="6">
        <f>IF(AND(SHINE!$N$27=1,SHINE!$B$18='цены расчет'!G61),1,0)</f>
        <v>0</v>
      </c>
      <c r="I61" s="55">
        <f t="shared" si="8"/>
        <v>0</v>
      </c>
      <c r="J61" s="114">
        <v>0.22</v>
      </c>
      <c r="K61" s="55"/>
    </row>
    <row r="62" spans="1:11" hidden="1" x14ac:dyDescent="0.25">
      <c r="A62" s="71" t="s">
        <v>41</v>
      </c>
      <c r="B62" s="66" t="s">
        <v>95</v>
      </c>
      <c r="C62" s="42" t="s">
        <v>7</v>
      </c>
      <c r="D62" s="45" t="s">
        <v>89</v>
      </c>
      <c r="E62" s="97"/>
      <c r="F62" s="38">
        <v>1050</v>
      </c>
      <c r="G62" s="7">
        <v>8</v>
      </c>
      <c r="H62" s="6">
        <f>IF(AND(SHINE!$N$27=1,SHINE!$B$18='цены расчет'!G62),1,0)</f>
        <v>0</v>
      </c>
      <c r="I62" s="55">
        <f t="shared" si="8"/>
        <v>0</v>
      </c>
      <c r="J62" s="114">
        <v>0.22</v>
      </c>
      <c r="K62" s="55">
        <f t="shared" si="9"/>
        <v>0</v>
      </c>
    </row>
    <row r="63" spans="1:11" hidden="1" x14ac:dyDescent="0.25">
      <c r="A63" s="71" t="s">
        <v>39</v>
      </c>
      <c r="B63" s="66" t="s">
        <v>95</v>
      </c>
      <c r="C63" s="42" t="s">
        <v>88</v>
      </c>
      <c r="D63" s="45" t="s">
        <v>89</v>
      </c>
      <c r="E63" s="97"/>
      <c r="F63" s="38">
        <v>970</v>
      </c>
      <c r="G63" s="7">
        <v>3</v>
      </c>
      <c r="H63" s="6">
        <f>IF(AND(SHINE!$N$27=1,SHINE!$B$18='цены расчет'!G63),1,0)</f>
        <v>0</v>
      </c>
      <c r="I63" s="55">
        <f t="shared" si="8"/>
        <v>0</v>
      </c>
      <c r="J63" s="114">
        <v>0.22</v>
      </c>
      <c r="K63" s="55">
        <f t="shared" si="9"/>
        <v>0</v>
      </c>
    </row>
    <row r="64" spans="1:11" hidden="1" x14ac:dyDescent="0.25">
      <c r="A64" s="71" t="s">
        <v>37</v>
      </c>
      <c r="B64" s="66" t="s">
        <v>95</v>
      </c>
      <c r="C64" s="42" t="s">
        <v>1</v>
      </c>
      <c r="D64" s="45" t="s">
        <v>89</v>
      </c>
      <c r="E64" s="97"/>
      <c r="F64" s="38">
        <v>970</v>
      </c>
      <c r="G64" s="7">
        <v>2</v>
      </c>
      <c r="H64" s="6">
        <f>IF(AND(SHINE!$N$27=1,SHINE!$B$18='цены расчет'!G64),1,0)</f>
        <v>0</v>
      </c>
      <c r="I64" s="55">
        <f t="shared" si="8"/>
        <v>0</v>
      </c>
      <c r="J64" s="114">
        <v>0.22</v>
      </c>
      <c r="K64" s="55">
        <f t="shared" si="9"/>
        <v>0</v>
      </c>
    </row>
    <row r="65" spans="1:11" hidden="1" x14ac:dyDescent="0.25">
      <c r="A65" s="71" t="s">
        <v>38</v>
      </c>
      <c r="B65" s="66" t="s">
        <v>95</v>
      </c>
      <c r="C65" s="42" t="s">
        <v>2</v>
      </c>
      <c r="D65" s="45" t="s">
        <v>89</v>
      </c>
      <c r="E65" s="97"/>
      <c r="F65" s="38">
        <v>970</v>
      </c>
      <c r="G65" s="7">
        <v>4</v>
      </c>
      <c r="H65" s="6">
        <f>IF(AND(SHINE!$N$27=1,SHINE!$B$18='цены расчет'!G65),1,0)</f>
        <v>0</v>
      </c>
      <c r="I65" s="55">
        <f t="shared" si="8"/>
        <v>0</v>
      </c>
      <c r="J65" s="114">
        <v>0.22</v>
      </c>
      <c r="K65" s="55">
        <f t="shared" si="9"/>
        <v>0</v>
      </c>
    </row>
    <row r="66" spans="1:11" ht="16.5" hidden="1" thickBot="1" x14ac:dyDescent="0.3">
      <c r="A66" s="71" t="s">
        <v>137</v>
      </c>
      <c r="B66" s="66" t="s">
        <v>95</v>
      </c>
      <c r="C66" s="42" t="s">
        <v>81</v>
      </c>
      <c r="D66" s="45" t="s">
        <v>89</v>
      </c>
      <c r="E66" s="97"/>
      <c r="F66" s="38">
        <v>780</v>
      </c>
      <c r="G66" s="7">
        <v>1</v>
      </c>
      <c r="H66" s="6">
        <f>IF(AND(SHINE!$N$27=1,SHINE!$B$18='цены расчет'!G66),1,0)</f>
        <v>1</v>
      </c>
      <c r="I66" s="55">
        <f t="shared" si="8"/>
        <v>780</v>
      </c>
      <c r="J66" s="114">
        <v>0.22</v>
      </c>
      <c r="K66" s="55">
        <f t="shared" si="9"/>
        <v>0.22</v>
      </c>
    </row>
    <row r="67" spans="1:11" hidden="1" x14ac:dyDescent="0.25">
      <c r="A67" s="70" t="s">
        <v>46</v>
      </c>
      <c r="B67" s="65" t="s">
        <v>96</v>
      </c>
      <c r="C67" s="41" t="s">
        <v>74</v>
      </c>
      <c r="D67" s="44" t="s">
        <v>89</v>
      </c>
      <c r="E67" s="96"/>
      <c r="F67" s="37">
        <v>10</v>
      </c>
      <c r="G67" s="14">
        <v>5</v>
      </c>
      <c r="H67" s="13">
        <f>IF(AND(SHINE!$T$12=1,SHINE!$B$18='цены расчет'!G67),8,0)</f>
        <v>0</v>
      </c>
      <c r="I67" s="54">
        <f>F67*H67</f>
        <v>0</v>
      </c>
      <c r="J67" s="115"/>
      <c r="K67" s="54">
        <f t="shared" si="9"/>
        <v>0</v>
      </c>
    </row>
    <row r="68" spans="1:11" hidden="1" x14ac:dyDescent="0.25">
      <c r="A68" s="71" t="s">
        <v>61</v>
      </c>
      <c r="B68" s="66" t="s">
        <v>96</v>
      </c>
      <c r="C68" s="42" t="s">
        <v>9</v>
      </c>
      <c r="D68" s="45" t="s">
        <v>89</v>
      </c>
      <c r="E68" s="97"/>
      <c r="F68" s="38">
        <v>10</v>
      </c>
      <c r="G68" s="7">
        <v>6</v>
      </c>
      <c r="H68" s="6">
        <f>IF(AND(SHINE!$T$12=1,SHINE!$B$18='цены расчет'!G68),8,0)</f>
        <v>0</v>
      </c>
      <c r="I68" s="55">
        <f t="shared" ref="I68:I75" si="10">F68*H68</f>
        <v>0</v>
      </c>
      <c r="J68" s="115"/>
      <c r="K68" s="55">
        <f t="shared" si="9"/>
        <v>0</v>
      </c>
    </row>
    <row r="69" spans="1:11" hidden="1" x14ac:dyDescent="0.25">
      <c r="A69" s="71" t="s">
        <v>48</v>
      </c>
      <c r="B69" s="66" t="s">
        <v>96</v>
      </c>
      <c r="C69" s="42" t="s">
        <v>8</v>
      </c>
      <c r="D69" s="45" t="s">
        <v>89</v>
      </c>
      <c r="E69" s="97"/>
      <c r="F69" s="38">
        <v>10</v>
      </c>
      <c r="G69" s="7">
        <v>7</v>
      </c>
      <c r="H69" s="6">
        <f>IF(AND(SHINE!$T$12=1,SHINE!$B$18='цены расчет'!G69),8,0)</f>
        <v>0</v>
      </c>
      <c r="I69" s="55">
        <f t="shared" si="10"/>
        <v>0</v>
      </c>
      <c r="J69" s="115"/>
      <c r="K69" s="55">
        <f t="shared" si="9"/>
        <v>0</v>
      </c>
    </row>
    <row r="70" spans="1:11" hidden="1" x14ac:dyDescent="0.25">
      <c r="A70" s="71" t="s">
        <v>186</v>
      </c>
      <c r="B70" s="66" t="s">
        <v>96</v>
      </c>
      <c r="C70" s="42" t="s">
        <v>176</v>
      </c>
      <c r="D70" s="45" t="s">
        <v>89</v>
      </c>
      <c r="E70" s="97"/>
      <c r="F70" s="38">
        <v>10</v>
      </c>
      <c r="G70" s="193">
        <v>9</v>
      </c>
      <c r="H70" s="6">
        <f>IF(AND(SHINE!$T$12=1,SHINE!$B$18='цены расчет'!G70),8,0)</f>
        <v>0</v>
      </c>
      <c r="I70" s="55">
        <f t="shared" ref="I70" si="11">F70*H70</f>
        <v>0</v>
      </c>
      <c r="J70" s="115"/>
      <c r="K70" s="55"/>
    </row>
    <row r="71" spans="1:11" hidden="1" x14ac:dyDescent="0.25">
      <c r="A71" s="71" t="s">
        <v>47</v>
      </c>
      <c r="B71" s="66" t="s">
        <v>96</v>
      </c>
      <c r="C71" s="42" t="s">
        <v>7</v>
      </c>
      <c r="D71" s="45" t="s">
        <v>89</v>
      </c>
      <c r="E71" s="97"/>
      <c r="F71" s="38">
        <v>10</v>
      </c>
      <c r="G71" s="7">
        <v>8</v>
      </c>
      <c r="H71" s="6">
        <f>IF(AND(SHINE!$T$12=1,SHINE!$B$18='цены расчет'!G71),8,0)</f>
        <v>0</v>
      </c>
      <c r="I71" s="55">
        <f t="shared" si="10"/>
        <v>0</v>
      </c>
      <c r="J71" s="115"/>
      <c r="K71" s="55">
        <f t="shared" si="9"/>
        <v>0</v>
      </c>
    </row>
    <row r="72" spans="1:11" hidden="1" x14ac:dyDescent="0.25">
      <c r="A72" s="71" t="s">
        <v>45</v>
      </c>
      <c r="B72" s="66" t="s">
        <v>96</v>
      </c>
      <c r="C72" s="42" t="s">
        <v>88</v>
      </c>
      <c r="D72" s="45" t="s">
        <v>89</v>
      </c>
      <c r="E72" s="97"/>
      <c r="F72" s="38">
        <v>9</v>
      </c>
      <c r="G72" s="7">
        <v>3</v>
      </c>
      <c r="H72" s="6">
        <f>IF(AND(SHINE!$T$12=1,SHINE!$B$18='цены расчет'!G72),8,0)</f>
        <v>0</v>
      </c>
      <c r="I72" s="55">
        <f t="shared" si="10"/>
        <v>0</v>
      </c>
      <c r="J72" s="115"/>
      <c r="K72" s="55">
        <f t="shared" si="9"/>
        <v>0</v>
      </c>
    </row>
    <row r="73" spans="1:11" hidden="1" x14ac:dyDescent="0.25">
      <c r="A73" s="71" t="s">
        <v>43</v>
      </c>
      <c r="B73" s="66" t="s">
        <v>96</v>
      </c>
      <c r="C73" s="42" t="s">
        <v>1</v>
      </c>
      <c r="D73" s="45" t="s">
        <v>89</v>
      </c>
      <c r="E73" s="97"/>
      <c r="F73" s="38">
        <v>9</v>
      </c>
      <c r="G73" s="7">
        <v>2</v>
      </c>
      <c r="H73" s="6">
        <f>IF(AND(SHINE!$T$12=1,SHINE!$B$18='цены расчет'!G73),8,0)</f>
        <v>0</v>
      </c>
      <c r="I73" s="55">
        <f t="shared" si="10"/>
        <v>0</v>
      </c>
      <c r="J73" s="115"/>
      <c r="K73" s="55">
        <f t="shared" si="9"/>
        <v>0</v>
      </c>
    </row>
    <row r="74" spans="1:11" hidden="1" x14ac:dyDescent="0.25">
      <c r="A74" s="71" t="s">
        <v>44</v>
      </c>
      <c r="B74" s="66" t="s">
        <v>96</v>
      </c>
      <c r="C74" s="42" t="s">
        <v>2</v>
      </c>
      <c r="D74" s="45" t="s">
        <v>89</v>
      </c>
      <c r="E74" s="97"/>
      <c r="F74" s="38">
        <v>9</v>
      </c>
      <c r="G74" s="7">
        <v>4</v>
      </c>
      <c r="H74" s="6">
        <f>IF(AND(SHINE!$T$12=1,SHINE!$B$18='цены расчет'!G74),8,0)</f>
        <v>0</v>
      </c>
      <c r="I74" s="55">
        <f t="shared" si="10"/>
        <v>0</v>
      </c>
      <c r="J74" s="115"/>
      <c r="K74" s="55">
        <f t="shared" si="9"/>
        <v>0</v>
      </c>
    </row>
    <row r="75" spans="1:11" ht="16.5" hidden="1" thickBot="1" x14ac:dyDescent="0.3">
      <c r="A75" s="71" t="s">
        <v>138</v>
      </c>
      <c r="B75" s="66" t="s">
        <v>96</v>
      </c>
      <c r="C75" s="42" t="s">
        <v>123</v>
      </c>
      <c r="D75" s="45" t="s">
        <v>89</v>
      </c>
      <c r="E75" s="97"/>
      <c r="F75" s="38">
        <v>9</v>
      </c>
      <c r="G75" s="7">
        <v>1</v>
      </c>
      <c r="H75" s="6">
        <f>IF(AND(SHINE!$T$12=1,SHINE!$B$18='цены расчет'!G75),8,0)</f>
        <v>8</v>
      </c>
      <c r="I75" s="55">
        <f t="shared" si="10"/>
        <v>72</v>
      </c>
      <c r="J75" s="115"/>
      <c r="K75" s="55">
        <f t="shared" si="9"/>
        <v>0</v>
      </c>
    </row>
    <row r="76" spans="1:11" hidden="1" x14ac:dyDescent="0.25">
      <c r="A76" s="70" t="s">
        <v>52</v>
      </c>
      <c r="B76" s="65" t="s">
        <v>97</v>
      </c>
      <c r="C76" s="41" t="s">
        <v>74</v>
      </c>
      <c r="D76" s="44" t="s">
        <v>89</v>
      </c>
      <c r="E76" s="96"/>
      <c r="F76" s="37">
        <v>10</v>
      </c>
      <c r="G76" s="14">
        <v>5</v>
      </c>
      <c r="H76" s="13">
        <f>IF(AND(SHINE!$T$12=2,SHINE!$B$18='цены расчет'!G76),8,0)</f>
        <v>0</v>
      </c>
      <c r="I76" s="54">
        <f>F76*H76</f>
        <v>0</v>
      </c>
      <c r="J76" s="115"/>
      <c r="K76" s="54">
        <f t="shared" si="9"/>
        <v>0</v>
      </c>
    </row>
    <row r="77" spans="1:11" hidden="1" x14ac:dyDescent="0.25">
      <c r="A77" s="71" t="s">
        <v>72</v>
      </c>
      <c r="B77" s="66" t="s">
        <v>97</v>
      </c>
      <c r="C77" s="42" t="s">
        <v>9</v>
      </c>
      <c r="D77" s="45" t="s">
        <v>89</v>
      </c>
      <c r="E77" s="97"/>
      <c r="F77" s="38">
        <v>10</v>
      </c>
      <c r="G77" s="7">
        <v>6</v>
      </c>
      <c r="H77" s="6">
        <f>IF(AND(SHINE!$T$12=2,SHINE!$B$18='цены расчет'!G77),8,0)</f>
        <v>0</v>
      </c>
      <c r="I77" s="55">
        <f t="shared" ref="I77:I84" si="12">F77*H77</f>
        <v>0</v>
      </c>
      <c r="J77" s="115"/>
      <c r="K77" s="55">
        <f t="shared" si="9"/>
        <v>0</v>
      </c>
    </row>
    <row r="78" spans="1:11" ht="15" hidden="1" customHeight="1" x14ac:dyDescent="0.25">
      <c r="A78" s="71" t="s">
        <v>54</v>
      </c>
      <c r="B78" s="66" t="s">
        <v>97</v>
      </c>
      <c r="C78" s="42" t="s">
        <v>8</v>
      </c>
      <c r="D78" s="45" t="s">
        <v>89</v>
      </c>
      <c r="E78" s="97"/>
      <c r="F78" s="38">
        <v>10</v>
      </c>
      <c r="G78" s="7">
        <v>7</v>
      </c>
      <c r="H78" s="6">
        <f>IF(AND(SHINE!$T$12=2,SHINE!$B$18='цены расчет'!G78),8,0)</f>
        <v>0</v>
      </c>
      <c r="I78" s="55">
        <f t="shared" si="12"/>
        <v>0</v>
      </c>
      <c r="J78" s="115"/>
      <c r="K78" s="55">
        <f t="shared" si="9"/>
        <v>0</v>
      </c>
    </row>
    <row r="79" spans="1:11" ht="15" hidden="1" customHeight="1" x14ac:dyDescent="0.25">
      <c r="A79" s="71" t="s">
        <v>187</v>
      </c>
      <c r="B79" s="66" t="s">
        <v>97</v>
      </c>
      <c r="C79" s="42" t="s">
        <v>176</v>
      </c>
      <c r="D79" s="45" t="s">
        <v>89</v>
      </c>
      <c r="E79" s="97"/>
      <c r="F79" s="38">
        <v>10</v>
      </c>
      <c r="G79" s="193">
        <v>9</v>
      </c>
      <c r="H79" s="6">
        <f>IF(AND(SHINE!$T$12=2,SHINE!$B$18='цены расчет'!G79),8,0)</f>
        <v>0</v>
      </c>
      <c r="I79" s="55">
        <f t="shared" ref="I79" si="13">F79*H79</f>
        <v>0</v>
      </c>
      <c r="J79" s="115"/>
      <c r="K79" s="55">
        <f t="shared" ref="K79" si="14">H79*J79</f>
        <v>0</v>
      </c>
    </row>
    <row r="80" spans="1:11" hidden="1" x14ac:dyDescent="0.25">
      <c r="A80" s="71" t="s">
        <v>53</v>
      </c>
      <c r="B80" s="66" t="s">
        <v>97</v>
      </c>
      <c r="C80" s="42" t="s">
        <v>7</v>
      </c>
      <c r="D80" s="45" t="s">
        <v>89</v>
      </c>
      <c r="E80" s="97"/>
      <c r="F80" s="38">
        <v>10</v>
      </c>
      <c r="G80" s="7">
        <v>8</v>
      </c>
      <c r="H80" s="6">
        <f>IF(AND(SHINE!$T$12=2,SHINE!$B$18='цены расчет'!G80),8,0)</f>
        <v>0</v>
      </c>
      <c r="I80" s="55">
        <f t="shared" si="12"/>
        <v>0</v>
      </c>
      <c r="J80" s="115"/>
      <c r="K80" s="55">
        <f t="shared" si="9"/>
        <v>0</v>
      </c>
    </row>
    <row r="81" spans="1:12" hidden="1" x14ac:dyDescent="0.25">
      <c r="A81" s="71" t="s">
        <v>51</v>
      </c>
      <c r="B81" s="66" t="s">
        <v>97</v>
      </c>
      <c r="C81" s="42" t="s">
        <v>88</v>
      </c>
      <c r="D81" s="45" t="s">
        <v>89</v>
      </c>
      <c r="E81" s="97"/>
      <c r="F81" s="38">
        <v>9</v>
      </c>
      <c r="G81" s="7">
        <v>3</v>
      </c>
      <c r="H81" s="6">
        <f>IF(AND(SHINE!$T$12=2,SHINE!$B$18='цены расчет'!G81),8,0)</f>
        <v>0</v>
      </c>
      <c r="I81" s="55">
        <f t="shared" si="12"/>
        <v>0</v>
      </c>
      <c r="J81" s="115"/>
      <c r="K81" s="55">
        <f t="shared" si="9"/>
        <v>0</v>
      </c>
    </row>
    <row r="82" spans="1:12" hidden="1" x14ac:dyDescent="0.25">
      <c r="A82" s="71" t="s">
        <v>49</v>
      </c>
      <c r="B82" s="66" t="s">
        <v>97</v>
      </c>
      <c r="C82" s="42" t="s">
        <v>1</v>
      </c>
      <c r="D82" s="45" t="s">
        <v>89</v>
      </c>
      <c r="E82" s="97"/>
      <c r="F82" s="38">
        <v>9</v>
      </c>
      <c r="G82" s="7">
        <v>2</v>
      </c>
      <c r="H82" s="6">
        <f>IF(AND(SHINE!$T$12=2,SHINE!$B$18='цены расчет'!G82),8,0)</f>
        <v>0</v>
      </c>
      <c r="I82" s="55">
        <f t="shared" si="12"/>
        <v>0</v>
      </c>
      <c r="J82" s="115"/>
      <c r="K82" s="55">
        <f t="shared" si="9"/>
        <v>0</v>
      </c>
    </row>
    <row r="83" spans="1:12" hidden="1" x14ac:dyDescent="0.25">
      <c r="A83" s="71" t="s">
        <v>50</v>
      </c>
      <c r="B83" s="66" t="s">
        <v>97</v>
      </c>
      <c r="C83" s="42" t="s">
        <v>2</v>
      </c>
      <c r="D83" s="45" t="s">
        <v>89</v>
      </c>
      <c r="E83" s="97"/>
      <c r="F83" s="38">
        <v>9</v>
      </c>
      <c r="G83" s="7">
        <v>4</v>
      </c>
      <c r="H83" s="6">
        <f>IF(AND(SHINE!$T$12=2,SHINE!$B$18='цены расчет'!G83),8,0)</f>
        <v>0</v>
      </c>
      <c r="I83" s="55">
        <f t="shared" si="12"/>
        <v>0</v>
      </c>
      <c r="J83" s="115"/>
      <c r="K83" s="55">
        <f t="shared" si="9"/>
        <v>0</v>
      </c>
    </row>
    <row r="84" spans="1:12" ht="16.5" hidden="1" thickBot="1" x14ac:dyDescent="0.3">
      <c r="A84" s="71" t="s">
        <v>139</v>
      </c>
      <c r="B84" s="66" t="s">
        <v>97</v>
      </c>
      <c r="C84" s="42" t="s">
        <v>81</v>
      </c>
      <c r="D84" s="45" t="s">
        <v>89</v>
      </c>
      <c r="E84" s="97"/>
      <c r="F84" s="38">
        <v>9</v>
      </c>
      <c r="G84" s="7">
        <v>1</v>
      </c>
      <c r="H84" s="6">
        <f>IF(AND(SHINE!$T$12=2,SHINE!$B$18='цены расчет'!G84),8,0)</f>
        <v>0</v>
      </c>
      <c r="I84" s="55">
        <f t="shared" si="12"/>
        <v>0</v>
      </c>
      <c r="J84" s="115"/>
      <c r="K84" s="55">
        <f t="shared" si="9"/>
        <v>0</v>
      </c>
    </row>
    <row r="85" spans="1:12" ht="16.5" hidden="1" thickBot="1" x14ac:dyDescent="0.3">
      <c r="A85" s="17">
        <v>626</v>
      </c>
      <c r="B85" s="68" t="s">
        <v>98</v>
      </c>
      <c r="C85" s="48"/>
      <c r="D85" s="49" t="s">
        <v>89</v>
      </c>
      <c r="E85" s="98"/>
      <c r="F85" s="50">
        <v>90</v>
      </c>
      <c r="G85" s="58"/>
      <c r="H85" s="57">
        <f>IF(SHINE!T12=1,4,0)</f>
        <v>4</v>
      </c>
      <c r="I85" s="59">
        <f>F85*H85</f>
        <v>360</v>
      </c>
      <c r="J85" s="115">
        <v>0.05</v>
      </c>
      <c r="K85" s="59">
        <f t="shared" si="9"/>
        <v>0.2</v>
      </c>
    </row>
    <row r="86" spans="1:12" ht="16.5" hidden="1" thickBot="1" x14ac:dyDescent="0.3">
      <c r="A86" s="17"/>
      <c r="B86" s="69" t="s">
        <v>153</v>
      </c>
      <c r="C86" s="60"/>
      <c r="D86" s="49" t="s">
        <v>89</v>
      </c>
      <c r="E86" s="99"/>
      <c r="F86" s="61">
        <v>150</v>
      </c>
      <c r="G86" s="58"/>
      <c r="H86" s="81">
        <f>IF(AND(SHINE!D27=1,SHINE!I6&lt;=900),2,IF(AND(SHINE!D27=1,SHINE!I6&lt;=1500),3,IF(AND(SHINE!D27=1,SHINE!I6&lt;=2000),4,IF(AND(SHINE!D27=1,SHINE!I6&lt;=2700),5,0))))</f>
        <v>5</v>
      </c>
      <c r="I86" s="59">
        <f>F86*H86</f>
        <v>750</v>
      </c>
      <c r="K86" s="59"/>
    </row>
    <row r="87" spans="1:12" ht="16.5" hidden="1" thickBot="1" x14ac:dyDescent="0.3">
      <c r="A87" s="16"/>
      <c r="B87" s="104" t="s">
        <v>154</v>
      </c>
      <c r="C87" s="105"/>
      <c r="D87" s="106" t="s">
        <v>89</v>
      </c>
      <c r="E87" s="107"/>
      <c r="F87" s="116">
        <v>500</v>
      </c>
      <c r="G87" s="2"/>
      <c r="H87" s="81">
        <f>IF(AND(SHINE!H27=1,SHINE!I6&lt;=900),2,IF(AND(SHINE!H27=1,SHINE!I6&lt;=1500),3,IF(AND(SHINE!H27=1,SHINE!I6&lt;=2000),4,IF(AND(SHINE!H27=1,SHINE!I6&lt;=2700),5,0))))</f>
        <v>0</v>
      </c>
      <c r="I87" s="94">
        <f>F87*H87</f>
        <v>0</v>
      </c>
      <c r="K87" s="94"/>
    </row>
    <row r="88" spans="1:12" hidden="1" x14ac:dyDescent="0.25">
      <c r="A88" s="16"/>
      <c r="B88" s="108" t="s">
        <v>120</v>
      </c>
      <c r="C88" s="73"/>
      <c r="D88" s="74"/>
      <c r="E88" s="100"/>
      <c r="F88" s="85"/>
      <c r="G88" s="113"/>
      <c r="H88" s="16"/>
      <c r="I88" s="94"/>
      <c r="K88" s="94"/>
    </row>
    <row r="89" spans="1:12" ht="16.5" hidden="1" thickBot="1" x14ac:dyDescent="0.3">
      <c r="A89" s="16"/>
      <c r="B89" s="109" t="s">
        <v>152</v>
      </c>
      <c r="C89" s="110"/>
      <c r="D89" s="111"/>
      <c r="E89" s="112"/>
      <c r="F89" s="51">
        <v>300</v>
      </c>
      <c r="G89" s="88"/>
      <c r="H89" s="3"/>
      <c r="I89" s="94">
        <v>300</v>
      </c>
      <c r="K89" s="94"/>
    </row>
    <row r="90" spans="1:12" ht="18.75" hidden="1" x14ac:dyDescent="0.3">
      <c r="A90" s="70"/>
      <c r="B90" s="65" t="s">
        <v>100</v>
      </c>
      <c r="C90" s="210">
        <f>IF(SHINE!T12=1,SHINE!I6-13,SHINE!I6-99)</f>
        <v>2687</v>
      </c>
      <c r="D90" s="44"/>
      <c r="E90" s="44"/>
      <c r="F90" s="36"/>
      <c r="G90" s="36"/>
      <c r="H90" s="36"/>
      <c r="I90" s="75"/>
      <c r="J90">
        <v>10</v>
      </c>
      <c r="K90" s="75">
        <f>(C90/1000*C91/1000)*J90</f>
        <v>13.354389999999999</v>
      </c>
      <c r="L90" s="79"/>
    </row>
    <row r="91" spans="1:12" ht="19.5" hidden="1" thickBot="1" x14ac:dyDescent="0.35">
      <c r="A91" s="72"/>
      <c r="B91" s="67" t="s">
        <v>101</v>
      </c>
      <c r="C91" s="77">
        <f>SHINE!I7-99</f>
        <v>497</v>
      </c>
      <c r="D91" s="46"/>
      <c r="E91" s="46"/>
      <c r="F91" s="39"/>
      <c r="G91" s="39"/>
      <c r="H91" s="39"/>
      <c r="I91" s="76"/>
      <c r="K91" s="76"/>
      <c r="L91" s="79"/>
    </row>
    <row r="92" spans="1:12" hidden="1" x14ac:dyDescent="0.25">
      <c r="I92" s="80">
        <f>SUM(I4:I91)*1.1</f>
        <v>18044.400000000001</v>
      </c>
      <c r="K92" s="80">
        <f>SUM(K4:K91)</f>
        <v>18.108229999999999</v>
      </c>
      <c r="L92" s="141">
        <f>ROUND(K92,2)</f>
        <v>18.11</v>
      </c>
    </row>
  </sheetData>
  <phoneticPr fontId="11" type="noConversion"/>
  <conditionalFormatting sqref="H4:I91">
    <cfRule type="cellIs" dxfId="4" priority="6" operator="notEqual">
      <formula>0</formula>
    </cfRule>
  </conditionalFormatting>
  <conditionalFormatting sqref="F4:F89">
    <cfRule type="cellIs" dxfId="3" priority="5" operator="equal">
      <formula>0</formula>
    </cfRule>
  </conditionalFormatting>
  <conditionalFormatting sqref="H4:I89">
    <cfRule type="cellIs" dxfId="2" priority="4" operator="equal">
      <formula>0</formula>
    </cfRule>
  </conditionalFormatting>
  <conditionalFormatting sqref="K4:K89">
    <cfRule type="cellIs" dxfId="1" priority="1" operator="equal">
      <formula>0</formula>
    </cfRule>
  </conditionalFormatting>
  <conditionalFormatting sqref="K4:K91"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84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G2" sqref="G2"/>
    </sheetView>
  </sheetViews>
  <sheetFormatPr defaultColWidth="8.75" defaultRowHeight="12.75" x14ac:dyDescent="0.2"/>
  <cols>
    <col min="1" max="1" width="17.875" style="118" customWidth="1"/>
    <col min="2" max="2" width="15.875" style="118" customWidth="1"/>
    <col min="3" max="3" width="57.25" style="118" bestFit="1" customWidth="1"/>
    <col min="4" max="4" width="16.375" style="118" customWidth="1"/>
    <col min="5" max="5" width="6.625" style="119" bestFit="1" customWidth="1"/>
    <col min="6" max="6" width="11" style="212" customWidth="1"/>
    <col min="7" max="7" width="9.25" style="118" customWidth="1"/>
    <col min="8" max="16384" width="8.75" style="118"/>
  </cols>
  <sheetData>
    <row r="1" spans="1:7" ht="13.5" thickBot="1" x14ac:dyDescent="0.25">
      <c r="G1" s="220">
        <v>0</v>
      </c>
    </row>
    <row r="2" spans="1:7" s="146" customFormat="1" ht="29.45" customHeight="1" thickBot="1" x14ac:dyDescent="0.3">
      <c r="A2" s="142" t="s">
        <v>170</v>
      </c>
      <c r="B2" s="143" t="s">
        <v>71</v>
      </c>
      <c r="C2" s="144" t="s">
        <v>143</v>
      </c>
      <c r="D2" s="145" t="s">
        <v>0</v>
      </c>
      <c r="E2" s="145" t="s">
        <v>163</v>
      </c>
      <c r="F2" s="211" t="s">
        <v>155</v>
      </c>
      <c r="G2" s="219" t="s">
        <v>169</v>
      </c>
    </row>
    <row r="3" spans="1:7" ht="17.45" customHeight="1" x14ac:dyDescent="0.2">
      <c r="A3" s="300"/>
      <c r="B3" s="124" t="s">
        <v>16</v>
      </c>
      <c r="C3" s="122" t="s">
        <v>158</v>
      </c>
      <c r="D3" s="128" t="s">
        <v>74</v>
      </c>
      <c r="E3" s="121" t="s">
        <v>89</v>
      </c>
      <c r="F3" s="213">
        <v>1400</v>
      </c>
      <c r="G3" s="221">
        <f>F3-F3*$G$1</f>
        <v>1400</v>
      </c>
    </row>
    <row r="4" spans="1:7" ht="17.45" customHeight="1" x14ac:dyDescent="0.2">
      <c r="A4" s="298"/>
      <c r="B4" s="125" t="s">
        <v>58</v>
      </c>
      <c r="C4" s="123" t="s">
        <v>158</v>
      </c>
      <c r="D4" s="129" t="s">
        <v>9</v>
      </c>
      <c r="E4" s="120" t="s">
        <v>89</v>
      </c>
      <c r="F4" s="214">
        <v>1400</v>
      </c>
      <c r="G4" s="222">
        <f t="shared" ref="G4:G67" si="0">F4-F4*$G$1</f>
        <v>1400</v>
      </c>
    </row>
    <row r="5" spans="1:7" ht="17.45" customHeight="1" x14ac:dyDescent="0.2">
      <c r="A5" s="298"/>
      <c r="B5" s="125" t="s">
        <v>179</v>
      </c>
      <c r="C5" s="123" t="s">
        <v>158</v>
      </c>
      <c r="D5" s="129" t="s">
        <v>176</v>
      </c>
      <c r="E5" s="120" t="s">
        <v>89</v>
      </c>
      <c r="F5" s="214">
        <v>1400</v>
      </c>
      <c r="G5" s="222">
        <f t="shared" si="0"/>
        <v>1400</v>
      </c>
    </row>
    <row r="6" spans="1:7" ht="17.45" customHeight="1" x14ac:dyDescent="0.2">
      <c r="A6" s="298"/>
      <c r="B6" s="125" t="s">
        <v>18</v>
      </c>
      <c r="C6" s="123" t="s">
        <v>158</v>
      </c>
      <c r="D6" s="129" t="s">
        <v>8</v>
      </c>
      <c r="E6" s="120" t="s">
        <v>89</v>
      </c>
      <c r="F6" s="214">
        <v>1400</v>
      </c>
      <c r="G6" s="222">
        <f t="shared" si="0"/>
        <v>1400</v>
      </c>
    </row>
    <row r="7" spans="1:7" ht="17.45" customHeight="1" x14ac:dyDescent="0.2">
      <c r="A7" s="298"/>
      <c r="B7" s="125" t="s">
        <v>17</v>
      </c>
      <c r="C7" s="123" t="s">
        <v>158</v>
      </c>
      <c r="D7" s="129" t="s">
        <v>7</v>
      </c>
      <c r="E7" s="120" t="s">
        <v>89</v>
      </c>
      <c r="F7" s="214">
        <v>1400</v>
      </c>
      <c r="G7" s="222">
        <f t="shared" si="0"/>
        <v>1400</v>
      </c>
    </row>
    <row r="8" spans="1:7" ht="17.45" customHeight="1" x14ac:dyDescent="0.2">
      <c r="A8" s="298"/>
      <c r="B8" s="125" t="s">
        <v>15</v>
      </c>
      <c r="C8" s="123" t="s">
        <v>158</v>
      </c>
      <c r="D8" s="129" t="s">
        <v>88</v>
      </c>
      <c r="E8" s="120" t="s">
        <v>89</v>
      </c>
      <c r="F8" s="214">
        <v>1050</v>
      </c>
      <c r="G8" s="222">
        <f t="shared" si="0"/>
        <v>1050</v>
      </c>
    </row>
    <row r="9" spans="1:7" ht="17.45" customHeight="1" x14ac:dyDescent="0.2">
      <c r="A9" s="298"/>
      <c r="B9" s="125" t="s">
        <v>13</v>
      </c>
      <c r="C9" s="123" t="s">
        <v>158</v>
      </c>
      <c r="D9" s="129" t="s">
        <v>1</v>
      </c>
      <c r="E9" s="120" t="s">
        <v>89</v>
      </c>
      <c r="F9" s="214">
        <v>1050</v>
      </c>
      <c r="G9" s="222">
        <f t="shared" si="0"/>
        <v>1050</v>
      </c>
    </row>
    <row r="10" spans="1:7" ht="17.45" customHeight="1" x14ac:dyDescent="0.2">
      <c r="A10" s="298"/>
      <c r="B10" s="125" t="s">
        <v>14</v>
      </c>
      <c r="C10" s="123" t="s">
        <v>158</v>
      </c>
      <c r="D10" s="129" t="s">
        <v>2</v>
      </c>
      <c r="E10" s="120" t="s">
        <v>89</v>
      </c>
      <c r="F10" s="214">
        <v>1050</v>
      </c>
      <c r="G10" s="222">
        <f t="shared" si="0"/>
        <v>1050</v>
      </c>
    </row>
    <row r="11" spans="1:7" ht="17.45" customHeight="1" thickBot="1" x14ac:dyDescent="0.25">
      <c r="A11" s="301"/>
      <c r="B11" s="136" t="s">
        <v>131</v>
      </c>
      <c r="C11" s="137" t="s">
        <v>158</v>
      </c>
      <c r="D11" s="138" t="s">
        <v>123</v>
      </c>
      <c r="E11" s="139" t="s">
        <v>89</v>
      </c>
      <c r="F11" s="215">
        <v>890</v>
      </c>
      <c r="G11" s="223">
        <f t="shared" si="0"/>
        <v>890</v>
      </c>
    </row>
    <row r="12" spans="1:7" ht="17.45" customHeight="1" x14ac:dyDescent="0.2">
      <c r="A12" s="297"/>
      <c r="B12" s="131" t="s">
        <v>10</v>
      </c>
      <c r="C12" s="132" t="s">
        <v>159</v>
      </c>
      <c r="D12" s="133" t="s">
        <v>74</v>
      </c>
      <c r="E12" s="134" t="s">
        <v>89</v>
      </c>
      <c r="F12" s="216">
        <v>1550</v>
      </c>
      <c r="G12" s="221">
        <f t="shared" si="0"/>
        <v>1550</v>
      </c>
    </row>
    <row r="13" spans="1:7" ht="17.45" customHeight="1" x14ac:dyDescent="0.2">
      <c r="A13" s="298"/>
      <c r="B13" s="125" t="s">
        <v>57</v>
      </c>
      <c r="C13" s="123" t="s">
        <v>159</v>
      </c>
      <c r="D13" s="129" t="s">
        <v>9</v>
      </c>
      <c r="E13" s="120" t="s">
        <v>89</v>
      </c>
      <c r="F13" s="214">
        <v>1550</v>
      </c>
      <c r="G13" s="222">
        <f t="shared" si="0"/>
        <v>1550</v>
      </c>
    </row>
    <row r="14" spans="1:7" ht="17.45" customHeight="1" x14ac:dyDescent="0.2">
      <c r="A14" s="298"/>
      <c r="B14" s="125" t="s">
        <v>180</v>
      </c>
      <c r="C14" s="123" t="s">
        <v>159</v>
      </c>
      <c r="D14" s="129" t="s">
        <v>176</v>
      </c>
      <c r="E14" s="120" t="s">
        <v>89</v>
      </c>
      <c r="F14" s="214">
        <v>1550</v>
      </c>
      <c r="G14" s="222">
        <f t="shared" si="0"/>
        <v>1550</v>
      </c>
    </row>
    <row r="15" spans="1:7" ht="17.45" customHeight="1" x14ac:dyDescent="0.2">
      <c r="A15" s="298"/>
      <c r="B15" s="125" t="s">
        <v>12</v>
      </c>
      <c r="C15" s="123" t="s">
        <v>159</v>
      </c>
      <c r="D15" s="129" t="s">
        <v>8</v>
      </c>
      <c r="E15" s="120" t="s">
        <v>89</v>
      </c>
      <c r="F15" s="214">
        <v>1550</v>
      </c>
      <c r="G15" s="222">
        <f t="shared" si="0"/>
        <v>1550</v>
      </c>
    </row>
    <row r="16" spans="1:7" ht="17.45" customHeight="1" x14ac:dyDescent="0.2">
      <c r="A16" s="298"/>
      <c r="B16" s="125" t="s">
        <v>11</v>
      </c>
      <c r="C16" s="123" t="s">
        <v>159</v>
      </c>
      <c r="D16" s="129" t="s">
        <v>7</v>
      </c>
      <c r="E16" s="120" t="s">
        <v>89</v>
      </c>
      <c r="F16" s="214">
        <v>1550</v>
      </c>
      <c r="G16" s="222">
        <f t="shared" si="0"/>
        <v>1550</v>
      </c>
    </row>
    <row r="17" spans="1:7" ht="17.45" customHeight="1" x14ac:dyDescent="0.2">
      <c r="A17" s="298"/>
      <c r="B17" s="125" t="s">
        <v>5</v>
      </c>
      <c r="C17" s="123" t="s">
        <v>159</v>
      </c>
      <c r="D17" s="129" t="s">
        <v>88</v>
      </c>
      <c r="E17" s="120" t="s">
        <v>89</v>
      </c>
      <c r="F17" s="214">
        <v>1350</v>
      </c>
      <c r="G17" s="222">
        <f t="shared" si="0"/>
        <v>1350</v>
      </c>
    </row>
    <row r="18" spans="1:7" ht="17.45" customHeight="1" x14ac:dyDescent="0.2">
      <c r="A18" s="298"/>
      <c r="B18" s="125" t="s">
        <v>6</v>
      </c>
      <c r="C18" s="123" t="s">
        <v>159</v>
      </c>
      <c r="D18" s="129" t="s">
        <v>1</v>
      </c>
      <c r="E18" s="120" t="s">
        <v>89</v>
      </c>
      <c r="F18" s="214">
        <v>1350</v>
      </c>
      <c r="G18" s="222">
        <f t="shared" si="0"/>
        <v>1350</v>
      </c>
    </row>
    <row r="19" spans="1:7" ht="17.45" customHeight="1" x14ac:dyDescent="0.2">
      <c r="A19" s="298"/>
      <c r="B19" s="125" t="s">
        <v>4</v>
      </c>
      <c r="C19" s="123" t="s">
        <v>159</v>
      </c>
      <c r="D19" s="129" t="s">
        <v>2</v>
      </c>
      <c r="E19" s="120" t="s">
        <v>89</v>
      </c>
      <c r="F19" s="214">
        <v>1350</v>
      </c>
      <c r="G19" s="222">
        <f t="shared" si="0"/>
        <v>1350</v>
      </c>
    </row>
    <row r="20" spans="1:7" ht="17.45" customHeight="1" thickBot="1" x14ac:dyDescent="0.25">
      <c r="A20" s="299"/>
      <c r="B20" s="135" t="s">
        <v>132</v>
      </c>
      <c r="C20" s="126" t="s">
        <v>159</v>
      </c>
      <c r="D20" s="138" t="s">
        <v>123</v>
      </c>
      <c r="E20" s="127" t="s">
        <v>89</v>
      </c>
      <c r="F20" s="217">
        <v>1210</v>
      </c>
      <c r="G20" s="223">
        <f t="shared" si="0"/>
        <v>1210</v>
      </c>
    </row>
    <row r="21" spans="1:7" ht="17.45" customHeight="1" x14ac:dyDescent="0.2">
      <c r="A21" s="297"/>
      <c r="B21" s="131" t="s">
        <v>22</v>
      </c>
      <c r="C21" s="132" t="s">
        <v>160</v>
      </c>
      <c r="D21" s="133" t="s">
        <v>74</v>
      </c>
      <c r="E21" s="134" t="s">
        <v>89</v>
      </c>
      <c r="F21" s="216">
        <v>1700</v>
      </c>
      <c r="G21" s="221">
        <f t="shared" si="0"/>
        <v>1700</v>
      </c>
    </row>
    <row r="22" spans="1:7" ht="17.45" customHeight="1" x14ac:dyDescent="0.2">
      <c r="A22" s="298"/>
      <c r="B22" s="125" t="s">
        <v>56</v>
      </c>
      <c r="C22" s="123" t="s">
        <v>160</v>
      </c>
      <c r="D22" s="129" t="s">
        <v>9</v>
      </c>
      <c r="E22" s="120" t="s">
        <v>89</v>
      </c>
      <c r="F22" s="214">
        <v>1700</v>
      </c>
      <c r="G22" s="222">
        <f t="shared" si="0"/>
        <v>1700</v>
      </c>
    </row>
    <row r="23" spans="1:7" ht="17.45" customHeight="1" x14ac:dyDescent="0.2">
      <c r="A23" s="298"/>
      <c r="B23" s="125" t="s">
        <v>181</v>
      </c>
      <c r="C23" s="123" t="s">
        <v>160</v>
      </c>
      <c r="D23" s="129" t="s">
        <v>176</v>
      </c>
      <c r="E23" s="120" t="s">
        <v>89</v>
      </c>
      <c r="F23" s="214">
        <v>1700</v>
      </c>
      <c r="G23" s="222">
        <f t="shared" si="0"/>
        <v>1700</v>
      </c>
    </row>
    <row r="24" spans="1:7" ht="17.45" customHeight="1" x14ac:dyDescent="0.2">
      <c r="A24" s="298"/>
      <c r="B24" s="125" t="s">
        <v>24</v>
      </c>
      <c r="C24" s="123" t="s">
        <v>160</v>
      </c>
      <c r="D24" s="129" t="s">
        <v>8</v>
      </c>
      <c r="E24" s="120" t="s">
        <v>89</v>
      </c>
      <c r="F24" s="214">
        <v>1700</v>
      </c>
      <c r="G24" s="222">
        <f t="shared" si="0"/>
        <v>1700</v>
      </c>
    </row>
    <row r="25" spans="1:7" ht="17.45" customHeight="1" x14ac:dyDescent="0.2">
      <c r="A25" s="298"/>
      <c r="B25" s="125" t="s">
        <v>23</v>
      </c>
      <c r="C25" s="123" t="s">
        <v>160</v>
      </c>
      <c r="D25" s="129" t="s">
        <v>7</v>
      </c>
      <c r="E25" s="120" t="s">
        <v>89</v>
      </c>
      <c r="F25" s="214">
        <v>1700</v>
      </c>
      <c r="G25" s="222">
        <f t="shared" si="0"/>
        <v>1700</v>
      </c>
    </row>
    <row r="26" spans="1:7" ht="17.45" customHeight="1" x14ac:dyDescent="0.2">
      <c r="A26" s="298"/>
      <c r="B26" s="125" t="s">
        <v>21</v>
      </c>
      <c r="C26" s="123" t="s">
        <v>160</v>
      </c>
      <c r="D26" s="129" t="s">
        <v>88</v>
      </c>
      <c r="E26" s="120" t="s">
        <v>89</v>
      </c>
      <c r="F26" s="214">
        <v>1480</v>
      </c>
      <c r="G26" s="222">
        <f t="shared" si="0"/>
        <v>1480</v>
      </c>
    </row>
    <row r="27" spans="1:7" ht="17.45" customHeight="1" x14ac:dyDescent="0.2">
      <c r="A27" s="298"/>
      <c r="B27" s="125" t="s">
        <v>19</v>
      </c>
      <c r="C27" s="123" t="s">
        <v>160</v>
      </c>
      <c r="D27" s="129" t="s">
        <v>1</v>
      </c>
      <c r="E27" s="120" t="s">
        <v>89</v>
      </c>
      <c r="F27" s="214">
        <v>1480</v>
      </c>
      <c r="G27" s="222">
        <f t="shared" si="0"/>
        <v>1480</v>
      </c>
    </row>
    <row r="28" spans="1:7" ht="17.45" customHeight="1" x14ac:dyDescent="0.2">
      <c r="A28" s="298"/>
      <c r="B28" s="125" t="s">
        <v>20</v>
      </c>
      <c r="C28" s="123" t="s">
        <v>160</v>
      </c>
      <c r="D28" s="129" t="s">
        <v>2</v>
      </c>
      <c r="E28" s="120" t="s">
        <v>89</v>
      </c>
      <c r="F28" s="214">
        <v>1480</v>
      </c>
      <c r="G28" s="222">
        <f t="shared" si="0"/>
        <v>1480</v>
      </c>
    </row>
    <row r="29" spans="1:7" ht="17.45" customHeight="1" thickBot="1" x14ac:dyDescent="0.25">
      <c r="A29" s="299"/>
      <c r="B29" s="135" t="s">
        <v>133</v>
      </c>
      <c r="C29" s="126" t="s">
        <v>160</v>
      </c>
      <c r="D29" s="138" t="s">
        <v>123</v>
      </c>
      <c r="E29" s="127" t="s">
        <v>89</v>
      </c>
      <c r="F29" s="217">
        <v>1320</v>
      </c>
      <c r="G29" s="223">
        <f t="shared" si="0"/>
        <v>1320</v>
      </c>
    </row>
    <row r="30" spans="1:7" ht="17.45" customHeight="1" x14ac:dyDescent="0.2">
      <c r="A30" s="297"/>
      <c r="B30" s="131" t="s">
        <v>28</v>
      </c>
      <c r="C30" s="132" t="s">
        <v>161</v>
      </c>
      <c r="D30" s="133" t="s">
        <v>74</v>
      </c>
      <c r="E30" s="134" t="s">
        <v>89</v>
      </c>
      <c r="F30" s="216">
        <v>1850</v>
      </c>
      <c r="G30" s="221">
        <f t="shared" si="0"/>
        <v>1850</v>
      </c>
    </row>
    <row r="31" spans="1:7" ht="17.45" customHeight="1" x14ac:dyDescent="0.2">
      <c r="A31" s="298"/>
      <c r="B31" s="125" t="s">
        <v>55</v>
      </c>
      <c r="C31" s="123" t="s">
        <v>161</v>
      </c>
      <c r="D31" s="129" t="s">
        <v>9</v>
      </c>
      <c r="E31" s="120" t="s">
        <v>89</v>
      </c>
      <c r="F31" s="214">
        <v>1850</v>
      </c>
      <c r="G31" s="222">
        <f t="shared" si="0"/>
        <v>1850</v>
      </c>
    </row>
    <row r="32" spans="1:7" ht="17.45" customHeight="1" x14ac:dyDescent="0.2">
      <c r="A32" s="298"/>
      <c r="B32" s="125" t="s">
        <v>182</v>
      </c>
      <c r="C32" s="123" t="s">
        <v>161</v>
      </c>
      <c r="D32" s="129" t="s">
        <v>176</v>
      </c>
      <c r="E32" s="120" t="s">
        <v>89</v>
      </c>
      <c r="F32" s="214">
        <v>1850</v>
      </c>
      <c r="G32" s="222">
        <f t="shared" si="0"/>
        <v>1850</v>
      </c>
    </row>
    <row r="33" spans="1:7" ht="17.45" customHeight="1" x14ac:dyDescent="0.2">
      <c r="A33" s="298"/>
      <c r="B33" s="125" t="s">
        <v>30</v>
      </c>
      <c r="C33" s="123" t="s">
        <v>161</v>
      </c>
      <c r="D33" s="129" t="s">
        <v>8</v>
      </c>
      <c r="E33" s="120" t="s">
        <v>89</v>
      </c>
      <c r="F33" s="214">
        <v>1850</v>
      </c>
      <c r="G33" s="222">
        <f t="shared" si="0"/>
        <v>1850</v>
      </c>
    </row>
    <row r="34" spans="1:7" ht="17.45" customHeight="1" x14ac:dyDescent="0.2">
      <c r="A34" s="298"/>
      <c r="B34" s="125" t="s">
        <v>29</v>
      </c>
      <c r="C34" s="123" t="s">
        <v>161</v>
      </c>
      <c r="D34" s="129" t="s">
        <v>7</v>
      </c>
      <c r="E34" s="120" t="s">
        <v>89</v>
      </c>
      <c r="F34" s="214">
        <v>1850</v>
      </c>
      <c r="G34" s="222">
        <f t="shared" si="0"/>
        <v>1850</v>
      </c>
    </row>
    <row r="35" spans="1:7" ht="17.45" customHeight="1" x14ac:dyDescent="0.2">
      <c r="A35" s="298"/>
      <c r="B35" s="125" t="s">
        <v>27</v>
      </c>
      <c r="C35" s="123" t="s">
        <v>161</v>
      </c>
      <c r="D35" s="129" t="s">
        <v>88</v>
      </c>
      <c r="E35" s="120" t="s">
        <v>89</v>
      </c>
      <c r="F35" s="214">
        <v>1650</v>
      </c>
      <c r="G35" s="222">
        <f t="shared" si="0"/>
        <v>1650</v>
      </c>
    </row>
    <row r="36" spans="1:7" ht="17.45" customHeight="1" x14ac:dyDescent="0.2">
      <c r="A36" s="298"/>
      <c r="B36" s="125" t="s">
        <v>25</v>
      </c>
      <c r="C36" s="123" t="s">
        <v>161</v>
      </c>
      <c r="D36" s="129" t="s">
        <v>1</v>
      </c>
      <c r="E36" s="120" t="s">
        <v>89</v>
      </c>
      <c r="F36" s="214">
        <v>1650</v>
      </c>
      <c r="G36" s="222">
        <f t="shared" si="0"/>
        <v>1650</v>
      </c>
    </row>
    <row r="37" spans="1:7" ht="17.45" customHeight="1" x14ac:dyDescent="0.2">
      <c r="A37" s="298"/>
      <c r="B37" s="125" t="s">
        <v>26</v>
      </c>
      <c r="C37" s="123" t="s">
        <v>161</v>
      </c>
      <c r="D37" s="129" t="s">
        <v>2</v>
      </c>
      <c r="E37" s="120" t="s">
        <v>89</v>
      </c>
      <c r="F37" s="214">
        <v>1650</v>
      </c>
      <c r="G37" s="222">
        <f t="shared" si="0"/>
        <v>1650</v>
      </c>
    </row>
    <row r="38" spans="1:7" ht="17.45" customHeight="1" thickBot="1" x14ac:dyDescent="0.25">
      <c r="A38" s="299"/>
      <c r="B38" s="135" t="s">
        <v>134</v>
      </c>
      <c r="C38" s="126" t="s">
        <v>161</v>
      </c>
      <c r="D38" s="138" t="s">
        <v>123</v>
      </c>
      <c r="E38" s="127" t="s">
        <v>89</v>
      </c>
      <c r="F38" s="217">
        <v>1460</v>
      </c>
      <c r="G38" s="223">
        <f t="shared" si="0"/>
        <v>1460</v>
      </c>
    </row>
    <row r="39" spans="1:7" ht="17.45" customHeight="1" x14ac:dyDescent="0.2">
      <c r="A39" s="297"/>
      <c r="B39" s="131" t="s">
        <v>66</v>
      </c>
      <c r="C39" s="132" t="s">
        <v>164</v>
      </c>
      <c r="D39" s="133" t="s">
        <v>74</v>
      </c>
      <c r="E39" s="134" t="s">
        <v>89</v>
      </c>
      <c r="F39" s="216">
        <v>2405</v>
      </c>
      <c r="G39" s="221">
        <f t="shared" si="0"/>
        <v>2405</v>
      </c>
    </row>
    <row r="40" spans="1:7" ht="17.45" customHeight="1" x14ac:dyDescent="0.2">
      <c r="A40" s="298"/>
      <c r="B40" s="125" t="s">
        <v>69</v>
      </c>
      <c r="C40" s="123" t="s">
        <v>164</v>
      </c>
      <c r="D40" s="129" t="s">
        <v>9</v>
      </c>
      <c r="E40" s="120" t="s">
        <v>89</v>
      </c>
      <c r="F40" s="214">
        <v>2405</v>
      </c>
      <c r="G40" s="222">
        <f t="shared" si="0"/>
        <v>2405</v>
      </c>
    </row>
    <row r="41" spans="1:7" ht="17.45" customHeight="1" x14ac:dyDescent="0.2">
      <c r="A41" s="298"/>
      <c r="B41" s="125" t="s">
        <v>183</v>
      </c>
      <c r="C41" s="123" t="s">
        <v>164</v>
      </c>
      <c r="D41" s="129" t="s">
        <v>176</v>
      </c>
      <c r="E41" s="120" t="s">
        <v>89</v>
      </c>
      <c r="F41" s="214">
        <v>2405</v>
      </c>
      <c r="G41" s="222">
        <f t="shared" si="0"/>
        <v>2405</v>
      </c>
    </row>
    <row r="42" spans="1:7" ht="17.45" customHeight="1" x14ac:dyDescent="0.2">
      <c r="A42" s="298"/>
      <c r="B42" s="125" t="s">
        <v>68</v>
      </c>
      <c r="C42" s="123" t="s">
        <v>164</v>
      </c>
      <c r="D42" s="129" t="s">
        <v>8</v>
      </c>
      <c r="E42" s="120" t="s">
        <v>89</v>
      </c>
      <c r="F42" s="214">
        <v>2405</v>
      </c>
      <c r="G42" s="222">
        <f t="shared" si="0"/>
        <v>2405</v>
      </c>
    </row>
    <row r="43" spans="1:7" ht="17.45" customHeight="1" x14ac:dyDescent="0.2">
      <c r="A43" s="298"/>
      <c r="B43" s="125" t="s">
        <v>67</v>
      </c>
      <c r="C43" s="123" t="s">
        <v>164</v>
      </c>
      <c r="D43" s="129" t="s">
        <v>7</v>
      </c>
      <c r="E43" s="120" t="s">
        <v>89</v>
      </c>
      <c r="F43" s="214">
        <v>2405</v>
      </c>
      <c r="G43" s="222">
        <f t="shared" si="0"/>
        <v>2405</v>
      </c>
    </row>
    <row r="44" spans="1:7" ht="17.45" customHeight="1" x14ac:dyDescent="0.2">
      <c r="A44" s="298"/>
      <c r="B44" s="125" t="s">
        <v>65</v>
      </c>
      <c r="C44" s="123" t="s">
        <v>164</v>
      </c>
      <c r="D44" s="129" t="s">
        <v>88</v>
      </c>
      <c r="E44" s="120" t="s">
        <v>89</v>
      </c>
      <c r="F44" s="214">
        <v>2145</v>
      </c>
      <c r="G44" s="222">
        <f t="shared" si="0"/>
        <v>2145</v>
      </c>
    </row>
    <row r="45" spans="1:7" ht="17.45" customHeight="1" x14ac:dyDescent="0.2">
      <c r="A45" s="298"/>
      <c r="B45" s="125" t="s">
        <v>63</v>
      </c>
      <c r="C45" s="123" t="s">
        <v>164</v>
      </c>
      <c r="D45" s="129" t="s">
        <v>1</v>
      </c>
      <c r="E45" s="120" t="s">
        <v>89</v>
      </c>
      <c r="F45" s="214">
        <v>2145</v>
      </c>
      <c r="G45" s="222">
        <f t="shared" si="0"/>
        <v>2145</v>
      </c>
    </row>
    <row r="46" spans="1:7" ht="17.45" customHeight="1" x14ac:dyDescent="0.2">
      <c r="A46" s="298"/>
      <c r="B46" s="125" t="s">
        <v>64</v>
      </c>
      <c r="C46" s="123" t="s">
        <v>164</v>
      </c>
      <c r="D46" s="129" t="s">
        <v>2</v>
      </c>
      <c r="E46" s="120" t="s">
        <v>89</v>
      </c>
      <c r="F46" s="214">
        <v>2145</v>
      </c>
      <c r="G46" s="222">
        <f t="shared" si="0"/>
        <v>2145</v>
      </c>
    </row>
    <row r="47" spans="1:7" ht="17.45" customHeight="1" thickBot="1" x14ac:dyDescent="0.25">
      <c r="A47" s="299"/>
      <c r="B47" s="135" t="s">
        <v>135</v>
      </c>
      <c r="C47" s="126" t="s">
        <v>164</v>
      </c>
      <c r="D47" s="138" t="s">
        <v>123</v>
      </c>
      <c r="E47" s="127" t="s">
        <v>89</v>
      </c>
      <c r="F47" s="217">
        <v>1850</v>
      </c>
      <c r="G47" s="223">
        <f t="shared" si="0"/>
        <v>1850</v>
      </c>
    </row>
    <row r="48" spans="1:7" ht="17.45" customHeight="1" x14ac:dyDescent="0.2">
      <c r="A48" s="297"/>
      <c r="B48" s="131" t="s">
        <v>34</v>
      </c>
      <c r="C48" s="132" t="s">
        <v>162</v>
      </c>
      <c r="D48" s="133" t="s">
        <v>74</v>
      </c>
      <c r="E48" s="134" t="s">
        <v>89</v>
      </c>
      <c r="F48" s="216">
        <v>8780</v>
      </c>
      <c r="G48" s="221">
        <f t="shared" si="0"/>
        <v>8780</v>
      </c>
    </row>
    <row r="49" spans="1:7" ht="17.45" customHeight="1" x14ac:dyDescent="0.2">
      <c r="A49" s="298"/>
      <c r="B49" s="125" t="s">
        <v>59</v>
      </c>
      <c r="C49" s="123" t="s">
        <v>162</v>
      </c>
      <c r="D49" s="129" t="s">
        <v>9</v>
      </c>
      <c r="E49" s="120" t="s">
        <v>89</v>
      </c>
      <c r="F49" s="214">
        <v>8780</v>
      </c>
      <c r="G49" s="222">
        <f t="shared" si="0"/>
        <v>8780</v>
      </c>
    </row>
    <row r="50" spans="1:7" ht="17.45" customHeight="1" x14ac:dyDescent="0.2">
      <c r="A50" s="298"/>
      <c r="B50" s="125" t="s">
        <v>184</v>
      </c>
      <c r="C50" s="123" t="s">
        <v>162</v>
      </c>
      <c r="D50" s="129" t="s">
        <v>176</v>
      </c>
      <c r="E50" s="120" t="s">
        <v>89</v>
      </c>
      <c r="F50" s="214">
        <v>8780</v>
      </c>
      <c r="G50" s="222">
        <f t="shared" si="0"/>
        <v>8780</v>
      </c>
    </row>
    <row r="51" spans="1:7" ht="17.45" customHeight="1" x14ac:dyDescent="0.2">
      <c r="A51" s="298"/>
      <c r="B51" s="125" t="s">
        <v>36</v>
      </c>
      <c r="C51" s="123" t="s">
        <v>162</v>
      </c>
      <c r="D51" s="129" t="s">
        <v>8</v>
      </c>
      <c r="E51" s="120" t="s">
        <v>89</v>
      </c>
      <c r="F51" s="214">
        <v>8780</v>
      </c>
      <c r="G51" s="222">
        <f t="shared" si="0"/>
        <v>8780</v>
      </c>
    </row>
    <row r="52" spans="1:7" ht="17.45" customHeight="1" x14ac:dyDescent="0.2">
      <c r="A52" s="298"/>
      <c r="B52" s="125" t="s">
        <v>35</v>
      </c>
      <c r="C52" s="123" t="s">
        <v>162</v>
      </c>
      <c r="D52" s="129" t="s">
        <v>7</v>
      </c>
      <c r="E52" s="120" t="s">
        <v>89</v>
      </c>
      <c r="F52" s="214">
        <v>8780</v>
      </c>
      <c r="G52" s="222">
        <f t="shared" si="0"/>
        <v>8780</v>
      </c>
    </row>
    <row r="53" spans="1:7" ht="17.45" customHeight="1" x14ac:dyDescent="0.2">
      <c r="A53" s="298"/>
      <c r="B53" s="125" t="s">
        <v>33</v>
      </c>
      <c r="C53" s="123" t="s">
        <v>162</v>
      </c>
      <c r="D53" s="129" t="s">
        <v>88</v>
      </c>
      <c r="E53" s="120" t="s">
        <v>89</v>
      </c>
      <c r="F53" s="214">
        <v>7980</v>
      </c>
      <c r="G53" s="222">
        <f t="shared" si="0"/>
        <v>7980</v>
      </c>
    </row>
    <row r="54" spans="1:7" ht="17.45" customHeight="1" x14ac:dyDescent="0.2">
      <c r="A54" s="298"/>
      <c r="B54" s="125" t="s">
        <v>31</v>
      </c>
      <c r="C54" s="123" t="s">
        <v>162</v>
      </c>
      <c r="D54" s="129" t="s">
        <v>1</v>
      </c>
      <c r="E54" s="120" t="s">
        <v>89</v>
      </c>
      <c r="F54" s="214">
        <v>7980</v>
      </c>
      <c r="G54" s="222">
        <f t="shared" si="0"/>
        <v>7980</v>
      </c>
    </row>
    <row r="55" spans="1:7" ht="17.45" customHeight="1" x14ac:dyDescent="0.2">
      <c r="A55" s="298"/>
      <c r="B55" s="125" t="s">
        <v>32</v>
      </c>
      <c r="C55" s="123" t="s">
        <v>162</v>
      </c>
      <c r="D55" s="129" t="s">
        <v>2</v>
      </c>
      <c r="E55" s="120" t="s">
        <v>89</v>
      </c>
      <c r="F55" s="214">
        <v>7980</v>
      </c>
      <c r="G55" s="222">
        <f t="shared" si="0"/>
        <v>7980</v>
      </c>
    </row>
    <row r="56" spans="1:7" ht="17.45" customHeight="1" thickBot="1" x14ac:dyDescent="0.25">
      <c r="A56" s="299"/>
      <c r="B56" s="135" t="s">
        <v>136</v>
      </c>
      <c r="C56" s="126" t="s">
        <v>162</v>
      </c>
      <c r="D56" s="138" t="s">
        <v>123</v>
      </c>
      <c r="E56" s="127" t="s">
        <v>89</v>
      </c>
      <c r="F56" s="217">
        <v>6490</v>
      </c>
      <c r="G56" s="223">
        <f t="shared" si="0"/>
        <v>6490</v>
      </c>
    </row>
    <row r="57" spans="1:7" ht="17.45" customHeight="1" x14ac:dyDescent="0.2">
      <c r="A57" s="297"/>
      <c r="B57" s="131" t="s">
        <v>40</v>
      </c>
      <c r="C57" s="132" t="s">
        <v>95</v>
      </c>
      <c r="D57" s="133" t="s">
        <v>74</v>
      </c>
      <c r="E57" s="134" t="s">
        <v>89</v>
      </c>
      <c r="F57" s="216">
        <v>1050</v>
      </c>
      <c r="G57" s="221">
        <f t="shared" si="0"/>
        <v>1050</v>
      </c>
    </row>
    <row r="58" spans="1:7" ht="17.45" customHeight="1" x14ac:dyDescent="0.2">
      <c r="A58" s="298"/>
      <c r="B58" s="125" t="s">
        <v>60</v>
      </c>
      <c r="C58" s="123" t="s">
        <v>95</v>
      </c>
      <c r="D58" s="129" t="s">
        <v>9</v>
      </c>
      <c r="E58" s="120" t="s">
        <v>89</v>
      </c>
      <c r="F58" s="214">
        <v>1050</v>
      </c>
      <c r="G58" s="222">
        <f t="shared" si="0"/>
        <v>1050</v>
      </c>
    </row>
    <row r="59" spans="1:7" ht="17.45" customHeight="1" x14ac:dyDescent="0.2">
      <c r="A59" s="298"/>
      <c r="B59" s="125" t="s">
        <v>185</v>
      </c>
      <c r="C59" s="123" t="s">
        <v>95</v>
      </c>
      <c r="D59" s="129" t="s">
        <v>176</v>
      </c>
      <c r="E59" s="120" t="s">
        <v>89</v>
      </c>
      <c r="F59" s="214">
        <v>1050</v>
      </c>
      <c r="G59" s="222">
        <f t="shared" si="0"/>
        <v>1050</v>
      </c>
    </row>
    <row r="60" spans="1:7" ht="17.45" customHeight="1" x14ac:dyDescent="0.2">
      <c r="A60" s="298"/>
      <c r="B60" s="125" t="s">
        <v>42</v>
      </c>
      <c r="C60" s="123" t="s">
        <v>95</v>
      </c>
      <c r="D60" s="129" t="s">
        <v>8</v>
      </c>
      <c r="E60" s="120" t="s">
        <v>89</v>
      </c>
      <c r="F60" s="214">
        <v>1050</v>
      </c>
      <c r="G60" s="222">
        <f t="shared" si="0"/>
        <v>1050</v>
      </c>
    </row>
    <row r="61" spans="1:7" ht="17.45" customHeight="1" x14ac:dyDescent="0.2">
      <c r="A61" s="298"/>
      <c r="B61" s="125" t="s">
        <v>41</v>
      </c>
      <c r="C61" s="123" t="s">
        <v>95</v>
      </c>
      <c r="D61" s="129" t="s">
        <v>7</v>
      </c>
      <c r="E61" s="120" t="s">
        <v>89</v>
      </c>
      <c r="F61" s="214">
        <v>1050</v>
      </c>
      <c r="G61" s="222">
        <f t="shared" si="0"/>
        <v>1050</v>
      </c>
    </row>
    <row r="62" spans="1:7" ht="17.45" customHeight="1" x14ac:dyDescent="0.2">
      <c r="A62" s="298"/>
      <c r="B62" s="125" t="s">
        <v>39</v>
      </c>
      <c r="C62" s="123" t="s">
        <v>95</v>
      </c>
      <c r="D62" s="129" t="s">
        <v>88</v>
      </c>
      <c r="E62" s="120" t="s">
        <v>89</v>
      </c>
      <c r="F62" s="214">
        <v>970</v>
      </c>
      <c r="G62" s="222">
        <f t="shared" si="0"/>
        <v>970</v>
      </c>
    </row>
    <row r="63" spans="1:7" ht="17.45" customHeight="1" x14ac:dyDescent="0.2">
      <c r="A63" s="298"/>
      <c r="B63" s="125" t="s">
        <v>37</v>
      </c>
      <c r="C63" s="123" t="s">
        <v>95</v>
      </c>
      <c r="D63" s="129" t="s">
        <v>1</v>
      </c>
      <c r="E63" s="120" t="s">
        <v>89</v>
      </c>
      <c r="F63" s="214">
        <v>970</v>
      </c>
      <c r="G63" s="222">
        <f t="shared" si="0"/>
        <v>970</v>
      </c>
    </row>
    <row r="64" spans="1:7" ht="17.45" customHeight="1" x14ac:dyDescent="0.2">
      <c r="A64" s="298"/>
      <c r="B64" s="125" t="s">
        <v>38</v>
      </c>
      <c r="C64" s="123" t="s">
        <v>95</v>
      </c>
      <c r="D64" s="129" t="s">
        <v>2</v>
      </c>
      <c r="E64" s="120" t="s">
        <v>89</v>
      </c>
      <c r="F64" s="214">
        <v>970</v>
      </c>
      <c r="G64" s="222">
        <f t="shared" si="0"/>
        <v>970</v>
      </c>
    </row>
    <row r="65" spans="1:7" ht="17.45" customHeight="1" thickBot="1" x14ac:dyDescent="0.25">
      <c r="A65" s="299"/>
      <c r="B65" s="135" t="s">
        <v>137</v>
      </c>
      <c r="C65" s="126" t="s">
        <v>95</v>
      </c>
      <c r="D65" s="138" t="s">
        <v>123</v>
      </c>
      <c r="E65" s="127" t="s">
        <v>89</v>
      </c>
      <c r="F65" s="217">
        <v>810</v>
      </c>
      <c r="G65" s="223">
        <f t="shared" si="0"/>
        <v>810</v>
      </c>
    </row>
    <row r="66" spans="1:7" ht="17.45" customHeight="1" x14ac:dyDescent="0.2">
      <c r="A66" s="297"/>
      <c r="B66" s="131" t="s">
        <v>46</v>
      </c>
      <c r="C66" s="132" t="s">
        <v>96</v>
      </c>
      <c r="D66" s="133" t="s">
        <v>74</v>
      </c>
      <c r="E66" s="134" t="s">
        <v>89</v>
      </c>
      <c r="F66" s="216">
        <v>10</v>
      </c>
      <c r="G66" s="221">
        <f t="shared" si="0"/>
        <v>10</v>
      </c>
    </row>
    <row r="67" spans="1:7" ht="17.45" customHeight="1" x14ac:dyDescent="0.2">
      <c r="A67" s="298"/>
      <c r="B67" s="125" t="s">
        <v>61</v>
      </c>
      <c r="C67" s="123" t="s">
        <v>96</v>
      </c>
      <c r="D67" s="129" t="s">
        <v>9</v>
      </c>
      <c r="E67" s="120" t="s">
        <v>89</v>
      </c>
      <c r="F67" s="214">
        <v>10</v>
      </c>
      <c r="G67" s="222">
        <f t="shared" si="0"/>
        <v>10</v>
      </c>
    </row>
    <row r="68" spans="1:7" ht="17.45" customHeight="1" x14ac:dyDescent="0.2">
      <c r="A68" s="298"/>
      <c r="B68" s="125" t="s">
        <v>186</v>
      </c>
      <c r="C68" s="123" t="s">
        <v>96</v>
      </c>
      <c r="D68" s="129" t="s">
        <v>176</v>
      </c>
      <c r="E68" s="120" t="s">
        <v>89</v>
      </c>
      <c r="F68" s="214">
        <v>10</v>
      </c>
      <c r="G68" s="222">
        <f t="shared" ref="G68:G84" si="1">F68-F68*$G$1</f>
        <v>10</v>
      </c>
    </row>
    <row r="69" spans="1:7" ht="17.45" customHeight="1" x14ac:dyDescent="0.2">
      <c r="A69" s="298"/>
      <c r="B69" s="125" t="s">
        <v>48</v>
      </c>
      <c r="C69" s="123" t="s">
        <v>96</v>
      </c>
      <c r="D69" s="129" t="s">
        <v>8</v>
      </c>
      <c r="E69" s="120" t="s">
        <v>89</v>
      </c>
      <c r="F69" s="214">
        <v>10</v>
      </c>
      <c r="G69" s="222">
        <f t="shared" si="1"/>
        <v>10</v>
      </c>
    </row>
    <row r="70" spans="1:7" ht="17.45" customHeight="1" x14ac:dyDescent="0.2">
      <c r="A70" s="298"/>
      <c r="B70" s="125" t="s">
        <v>47</v>
      </c>
      <c r="C70" s="123" t="s">
        <v>96</v>
      </c>
      <c r="D70" s="129" t="s">
        <v>7</v>
      </c>
      <c r="E70" s="120" t="s">
        <v>89</v>
      </c>
      <c r="F70" s="214">
        <v>10</v>
      </c>
      <c r="G70" s="222">
        <f t="shared" si="1"/>
        <v>10</v>
      </c>
    </row>
    <row r="71" spans="1:7" ht="17.45" customHeight="1" x14ac:dyDescent="0.2">
      <c r="A71" s="298"/>
      <c r="B71" s="125" t="s">
        <v>45</v>
      </c>
      <c r="C71" s="123" t="s">
        <v>96</v>
      </c>
      <c r="D71" s="129" t="s">
        <v>88</v>
      </c>
      <c r="E71" s="120" t="s">
        <v>89</v>
      </c>
      <c r="F71" s="214">
        <v>9</v>
      </c>
      <c r="G71" s="222">
        <f t="shared" si="1"/>
        <v>9</v>
      </c>
    </row>
    <row r="72" spans="1:7" ht="17.45" customHeight="1" x14ac:dyDescent="0.2">
      <c r="A72" s="298"/>
      <c r="B72" s="125" t="s">
        <v>43</v>
      </c>
      <c r="C72" s="123" t="s">
        <v>96</v>
      </c>
      <c r="D72" s="129" t="s">
        <v>1</v>
      </c>
      <c r="E72" s="120" t="s">
        <v>89</v>
      </c>
      <c r="F72" s="214">
        <v>9</v>
      </c>
      <c r="G72" s="222">
        <f t="shared" si="1"/>
        <v>9</v>
      </c>
    </row>
    <row r="73" spans="1:7" ht="17.45" customHeight="1" x14ac:dyDescent="0.2">
      <c r="A73" s="298"/>
      <c r="B73" s="125" t="s">
        <v>44</v>
      </c>
      <c r="C73" s="123" t="s">
        <v>96</v>
      </c>
      <c r="D73" s="129" t="s">
        <v>2</v>
      </c>
      <c r="E73" s="120" t="s">
        <v>89</v>
      </c>
      <c r="F73" s="214">
        <v>9</v>
      </c>
      <c r="G73" s="222">
        <f t="shared" si="1"/>
        <v>9</v>
      </c>
    </row>
    <row r="74" spans="1:7" ht="17.45" customHeight="1" thickBot="1" x14ac:dyDescent="0.25">
      <c r="A74" s="299"/>
      <c r="B74" s="135" t="s">
        <v>138</v>
      </c>
      <c r="C74" s="126" t="s">
        <v>96</v>
      </c>
      <c r="D74" s="130" t="s">
        <v>123</v>
      </c>
      <c r="E74" s="127" t="s">
        <v>89</v>
      </c>
      <c r="F74" s="217">
        <v>9</v>
      </c>
      <c r="G74" s="223">
        <f t="shared" si="1"/>
        <v>9</v>
      </c>
    </row>
    <row r="75" spans="1:7" ht="17.45" customHeight="1" x14ac:dyDescent="0.2">
      <c r="A75" s="297"/>
      <c r="B75" s="131" t="s">
        <v>52</v>
      </c>
      <c r="C75" s="132" t="s">
        <v>97</v>
      </c>
      <c r="D75" s="133" t="s">
        <v>74</v>
      </c>
      <c r="E75" s="134" t="s">
        <v>89</v>
      </c>
      <c r="F75" s="216">
        <v>10</v>
      </c>
      <c r="G75" s="221">
        <f t="shared" si="1"/>
        <v>10</v>
      </c>
    </row>
    <row r="76" spans="1:7" ht="17.45" customHeight="1" x14ac:dyDescent="0.2">
      <c r="A76" s="298"/>
      <c r="B76" s="125" t="s">
        <v>72</v>
      </c>
      <c r="C76" s="123" t="s">
        <v>97</v>
      </c>
      <c r="D76" s="129" t="s">
        <v>9</v>
      </c>
      <c r="E76" s="120" t="s">
        <v>89</v>
      </c>
      <c r="F76" s="214">
        <v>10</v>
      </c>
      <c r="G76" s="222">
        <f t="shared" si="1"/>
        <v>10</v>
      </c>
    </row>
    <row r="77" spans="1:7" ht="17.45" customHeight="1" x14ac:dyDescent="0.2">
      <c r="A77" s="298"/>
      <c r="B77" s="125" t="s">
        <v>187</v>
      </c>
      <c r="C77" s="123" t="s">
        <v>97</v>
      </c>
      <c r="D77" s="129" t="s">
        <v>176</v>
      </c>
      <c r="E77" s="120" t="s">
        <v>89</v>
      </c>
      <c r="F77" s="214">
        <v>10</v>
      </c>
      <c r="G77" s="222">
        <f t="shared" si="1"/>
        <v>10</v>
      </c>
    </row>
    <row r="78" spans="1:7" ht="17.45" customHeight="1" x14ac:dyDescent="0.2">
      <c r="A78" s="298"/>
      <c r="B78" s="125" t="s">
        <v>54</v>
      </c>
      <c r="C78" s="123" t="s">
        <v>97</v>
      </c>
      <c r="D78" s="129" t="s">
        <v>8</v>
      </c>
      <c r="E78" s="120" t="s">
        <v>89</v>
      </c>
      <c r="F78" s="214">
        <v>10</v>
      </c>
      <c r="G78" s="222">
        <f t="shared" si="1"/>
        <v>10</v>
      </c>
    </row>
    <row r="79" spans="1:7" ht="17.45" customHeight="1" x14ac:dyDescent="0.2">
      <c r="A79" s="298"/>
      <c r="B79" s="125" t="s">
        <v>53</v>
      </c>
      <c r="C79" s="123" t="s">
        <v>97</v>
      </c>
      <c r="D79" s="129" t="s">
        <v>7</v>
      </c>
      <c r="E79" s="120" t="s">
        <v>89</v>
      </c>
      <c r="F79" s="214">
        <v>10</v>
      </c>
      <c r="G79" s="222">
        <f t="shared" si="1"/>
        <v>10</v>
      </c>
    </row>
    <row r="80" spans="1:7" ht="17.45" customHeight="1" x14ac:dyDescent="0.2">
      <c r="A80" s="298"/>
      <c r="B80" s="125" t="s">
        <v>51</v>
      </c>
      <c r="C80" s="123" t="s">
        <v>97</v>
      </c>
      <c r="D80" s="129" t="s">
        <v>88</v>
      </c>
      <c r="E80" s="120" t="s">
        <v>89</v>
      </c>
      <c r="F80" s="214">
        <v>9</v>
      </c>
      <c r="G80" s="222">
        <f t="shared" si="1"/>
        <v>9</v>
      </c>
    </row>
    <row r="81" spans="1:7" ht="17.45" customHeight="1" x14ac:dyDescent="0.2">
      <c r="A81" s="298"/>
      <c r="B81" s="125" t="s">
        <v>49</v>
      </c>
      <c r="C81" s="123" t="s">
        <v>97</v>
      </c>
      <c r="D81" s="129" t="s">
        <v>1</v>
      </c>
      <c r="E81" s="120" t="s">
        <v>89</v>
      </c>
      <c r="F81" s="214">
        <v>9</v>
      </c>
      <c r="G81" s="222">
        <f t="shared" si="1"/>
        <v>9</v>
      </c>
    </row>
    <row r="82" spans="1:7" ht="17.45" customHeight="1" x14ac:dyDescent="0.2">
      <c r="A82" s="298"/>
      <c r="B82" s="125" t="s">
        <v>50</v>
      </c>
      <c r="C82" s="123" t="s">
        <v>97</v>
      </c>
      <c r="D82" s="129" t="s">
        <v>2</v>
      </c>
      <c r="E82" s="120" t="s">
        <v>89</v>
      </c>
      <c r="F82" s="214">
        <v>9</v>
      </c>
      <c r="G82" s="222">
        <f t="shared" si="1"/>
        <v>9</v>
      </c>
    </row>
    <row r="83" spans="1:7" ht="17.45" customHeight="1" thickBot="1" x14ac:dyDescent="0.25">
      <c r="A83" s="299"/>
      <c r="B83" s="135" t="s">
        <v>139</v>
      </c>
      <c r="C83" s="126" t="s">
        <v>97</v>
      </c>
      <c r="D83" s="130" t="s">
        <v>123</v>
      </c>
      <c r="E83" s="127" t="s">
        <v>89</v>
      </c>
      <c r="F83" s="217">
        <v>9</v>
      </c>
      <c r="G83" s="223">
        <f t="shared" si="1"/>
        <v>9</v>
      </c>
    </row>
    <row r="84" spans="1:7" ht="66.599999999999994" customHeight="1" thickBot="1" x14ac:dyDescent="0.25">
      <c r="A84" s="140"/>
      <c r="B84" s="147">
        <v>626</v>
      </c>
      <c r="C84" s="148" t="s">
        <v>98</v>
      </c>
      <c r="D84" s="149"/>
      <c r="E84" s="150" t="s">
        <v>89</v>
      </c>
      <c r="F84" s="218">
        <v>90</v>
      </c>
      <c r="G84" s="224">
        <f t="shared" si="1"/>
        <v>90</v>
      </c>
    </row>
  </sheetData>
  <sheetProtection algorithmName="SHA-512" hashValue="QNhBz6KmtNWcYXGscV41K537y43ItQO7aV+75BGW6mzSc7kpPOq6qzyR06GnnDX3zoGvUUg1L26trMs0B6VCCA==" saltValue="eLQUkGVzqMgu26F3EqvSAg==" spinCount="100000" sheet="1" objects="1" scenarios="1"/>
  <mergeCells count="9">
    <mergeCell ref="A57:A65"/>
    <mergeCell ref="A66:A74"/>
    <mergeCell ref="A75:A83"/>
    <mergeCell ref="A3:A11"/>
    <mergeCell ref="A12:A20"/>
    <mergeCell ref="A21:A29"/>
    <mergeCell ref="A30:A38"/>
    <mergeCell ref="A39:A47"/>
    <mergeCell ref="A48:A56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новый расчет</vt:lpstr>
      <vt:lpstr>SHINE</vt:lpstr>
      <vt:lpstr>цены расчет</vt:lpstr>
      <vt:lpstr>комплектующие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Ольга Волкова</cp:lastModifiedBy>
  <cp:lastPrinted>2024-01-26T09:30:26Z</cp:lastPrinted>
  <dcterms:created xsi:type="dcterms:W3CDTF">2019-10-08T11:24:46Z</dcterms:created>
  <dcterms:modified xsi:type="dcterms:W3CDTF">2025-05-21T07:45:16Z</dcterms:modified>
  <cp:contentStatus/>
</cp:coreProperties>
</file>