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inovr\Downloads\"/>
    </mc:Choice>
  </mc:AlternateContent>
  <xr:revisionPtr revIDLastSave="0" documentId="13_ncr:1_{F6E29E8B-BBD8-493F-98F5-B3AC8181AED2}" xr6:coauthVersionLast="47" xr6:coauthVersionMax="47" xr10:uidLastSave="{00000000-0000-0000-0000-000000000000}"/>
  <workbookProtection workbookAlgorithmName="SHA-512" workbookHashValue="CZP8Tp+yeDu6OBt0mzKOXT7h36+ME5MZlYfGKwcQQywe8/xuTvhJXMhrRHUbj6R19kxrAfEWIA9d4hP/7MvcUA==" workbookSaltValue="XtJCN7QXvl7nwNCuH6kMqw==" workbookSpinCount="100000" lockStructure="1"/>
  <bookViews>
    <workbookView xWindow="-98" yWindow="-98" windowWidth="19396" windowHeight="11475" activeTab="1" xr2:uid="{8CE2C98E-979D-4DE5-80FE-CB5BD435ECB0}"/>
  </bookViews>
  <sheets>
    <sheet name="Лист заказа Moonlight" sheetId="1" r:id="rId1"/>
    <sheet name="Заказ №1" sheetId="4" r:id="rId2"/>
    <sheet name="Заказ №2" sheetId="5" r:id="rId3"/>
    <sheet name="Заказ №3" sheetId="6" r:id="rId4"/>
    <sheet name="Заказ №4" sheetId="7" r:id="rId5"/>
    <sheet name="Заказ №5" sheetId="8" r:id="rId6"/>
    <sheet name="Таблица с данными" sheetId="2" state="hidden" r:id="rId7"/>
    <sheet name="Таблица с чертежами" sheetId="3" state="hidden" r:id="rId8"/>
  </sheets>
  <definedNames>
    <definedName name="Артикул1">IFERROR("ML."&amp;TEXT('Лист заказа Moonlight'!XEW1, "000.")&amp;TEXT('Лист заказа Moonlight'!XEV1, "000.")&amp;OFFSET('Таблица с данными'!$B$14,MATCH('Лист заказа Moonlight'!XEZ1,'Таблица с данными'!$B$15:$B$16,0),1,1,1)&amp;OFFSET('Таблица с данными'!$B$2,MATCH('Лист заказа Moonlight'!XEX1,'Таблица с данными'!$B$3:$B$6,0),1,1,1)&amp;OFFSET('Таблица с данными'!$B$25,MATCH('Лист заказа Moonlight'!XFA1,'Таблица с данными'!$B$26:$B$27,0),1,1,1)&amp;OFFSET('Таблица с данными'!$B$9,MATCH('Лист заказа Moonlight'!XEY1,'Таблица с данными'!$B$10:$B$11,0),1,1,1)&amp;OFFSET('Таблица с данными'!$B$30,MATCH('Лист заказа Moonlight'!XFB1,'Таблица с данными'!$B$31:$B$34,0),5,1,1),"")</definedName>
    <definedName name="Артикул2">IFERROR("ML."&amp;TEXT('Лист заказа Moonlight'!XEW1, "000.")&amp;TEXT('Лист заказа Moonlight'!XEV1, "000.")&amp;OFFSET('Таблица с данными'!$B$14,MATCH('Лист заказа Moonlight'!XEZ1,'Таблица с данными'!$B$15:$B$16,0),1,1,1)&amp;OFFSET('Таблица с данными'!$B$2,MATCH('Лист заказа Moonlight'!XEX1,'Таблица с данными'!$B$3:$B$6,0),1,1,1)&amp;OFFSET('Таблица с данными'!$B$25,MATCH('Лист заказа Moonlight'!XFA1,'Таблица с данными'!$B$26:$B$27,0),1,1,1)&amp;OFFSET('Таблица с данными'!$B$9,MATCH('Лист заказа Moonlight'!XEY1,'Таблица с данными'!$B$10:$B$11,0),1,1,1)&amp;OFFSET('Таблица с данными'!$B$30,MATCH('Лист заказа Moonlight'!XFB1,'Таблица с данными'!$B$31:$B$34,0),5,1,1),"")</definedName>
    <definedName name="Артикул3">IFERROR("ML."&amp;TEXT('Лист заказа Moonlight'!XEW1, "000.")&amp;TEXT('Лист заказа Moonlight'!XEV1, "000.")&amp;OFFSET('Таблица с данными'!$B$14,MATCH('Лист заказа Moonlight'!XEZ1,'Таблица с данными'!$B$15:$B$16,0),1,1,1)&amp;OFFSET('Таблица с данными'!$B$2,MATCH('Лист заказа Moonlight'!XEX1,'Таблица с данными'!$B$3:$B$6,0),1,1,1)&amp;OFFSET('Таблица с данными'!$B$25,MATCH('Лист заказа Moonlight'!XFA1,'Таблица с данными'!$B$26:$B$27,0),1,1,1)&amp;OFFSET('Таблица с данными'!$B$9,MATCH('Лист заказа Moonlight'!XEY1,'Таблица с данными'!$B$10:$B$11,0),1,1,1)&amp;OFFSET('Таблица с данными'!$B$30,MATCH('Лист заказа Moonlight'!XFB1,'Таблица с данными'!$B$31:$B$34,0),5,1,1),"")</definedName>
    <definedName name="Артикул4">IFERROR("ML."&amp;TEXT('Лист заказа Moonlight'!XEW1, "000.")&amp;TEXT('Лист заказа Moonlight'!XEV1, "000.")&amp;OFFSET('Таблица с данными'!$B$14,MATCH('Лист заказа Moonlight'!XEZ1,'Таблица с данными'!$B$15:$B$16,0),1,1,1)&amp;OFFSET('Таблица с данными'!$B$2,MATCH('Лист заказа Moonlight'!XEX1,'Таблица с данными'!$B$3:$B$6,0),1,1,1)&amp;OFFSET('Таблица с данными'!$B$25,MATCH('Лист заказа Moonlight'!XFA1,'Таблица с данными'!$B$26:$B$27,0),1,1,1)&amp;OFFSET('Таблица с данными'!$B$9,MATCH('Лист заказа Moonlight'!XEY1,'Таблица с данными'!$B$10:$B$11,0),1,1,1)&amp;OFFSET('Таблица с данными'!$B$30,MATCH('Лист заказа Moonlight'!XFB1,'Таблица с данными'!$B$31:$B$34,0),5,1,1),"")</definedName>
    <definedName name="Артикул5">IFERROR("ML."&amp;TEXT('Лист заказа Moonlight'!XEW1, "000.")&amp;TEXT('Лист заказа Moonlight'!XEV1, "000.")&amp;OFFSET('Таблица с данными'!$B$14,MATCH('Лист заказа Moonlight'!XEZ1,'Таблица с данными'!$B$15:$B$16,0),1,1,1)&amp;OFFSET('Таблица с данными'!$B$2,MATCH('Лист заказа Moonlight'!XEX1,'Таблица с данными'!$B$3:$B$6,0),1,1,1)&amp;OFFSET('Таблица с данными'!$B$25,MATCH('Лист заказа Moonlight'!XFA1,'Таблица с данными'!$B$26:$B$27,0),1,1,1)&amp;OFFSET('Таблица с данными'!$B$9,MATCH('Лист заказа Moonlight'!XEY1,'Таблица с данными'!$B$10:$B$11,0),1,1,1)&amp;OFFSET('Таблица с данными'!$B$30,MATCH('Лист заказа Moonlight'!XFB1,'Таблица с данными'!$B$31:$B$34,0),5,1,1),"")</definedName>
    <definedName name="Вывод_провода" localSheetId="0">'Таблица с данными'!$B$26:$B$27</definedName>
    <definedName name="Мощность1" localSheetId="0">IF('Лист заказа Moonlight'!$L$16=0, "",'Лист заказа Moonlight'!$L$16*2)</definedName>
    <definedName name="Полкодержатель" localSheetId="0">'Таблица с данными'!$B$31:$B$34</definedName>
    <definedName name="Присадка" localSheetId="0">OFFSET('Таблица с данными'!$B$30,MATCH('Лист заказа Moonlight'!$H$16,'Таблица с данными'!$B$31:$B$34,0),1,COUNTIFS('Таблица с данными'!$B$31:$B$34,'Лист заказа Moonlight'!$H$16),1)</definedName>
    <definedName name="Сборка1" localSheetId="0">IF('Лист заказа Moonlight'!$B$16&gt;0, "да", "")</definedName>
    <definedName name="Сборка2" localSheetId="0">IF('Лист заказа Moonlight'!$B$17&gt;0, "да", "")</definedName>
    <definedName name="Сборка3" localSheetId="0">IF('Лист заказа Moonlight'!$B$18&gt;0, "да", "")</definedName>
    <definedName name="Цвет_полки" localSheetId="0">'Таблица с данными'!$B$3:$B$6</definedName>
    <definedName name="Цвет_рассеивателя" localSheetId="0">'Таблица с данными'!$B$10:$B$11</definedName>
    <definedName name="Цветовая_температура" localSheetId="0">'Таблица с данными'!$B$15:$B$16</definedName>
    <definedName name="Цена1">IF('Лист заказа Moonlight'!$B$16=0,"",('Таблица с данными'!$F$3*((224.64*('Лист заказа Moonlight'!$B$16/1000)+173.16*('Лист заказа Moonlight'!$C$16/1000*2+'Лист заказа Moonlight'!$B$16/1000)+374.4*('Лист заказа Moonlight'!$B$16/1000)+340.6*('Лист заказа Moonlight'!$B$16/1000)+743.08)+990+OFFSET('Таблица с данными'!$B$30,MATCH('Лист заказа Moonlight'!$H$16,'Таблица с данными'!$B$31:$B$34,0),6,1,1)))+(OFFSET('Таблица с данными'!$B$30,MATCH('Лист заказа Moonlight'!$H$16,'Таблица с данными'!$B$31:$B$34,0),7,1,1)))</definedName>
    <definedName name="Цена2">IF('Лист заказа Moonlight'!$B$17=0,"",('Таблица с данными'!$F$3*((224.64*('Лист заказа Moonlight'!$B$17/1000)+173.16*('Лист заказа Moonlight'!$C$17/1000*2+'Лист заказа Moonlight'!$B$17/1000)+374.4*('Лист заказа Moonlight'!$B$17/1000)+340.6*('Лист заказа Moonlight'!$B$17/1000)+743.08)+990+OFFSET('Таблица с данными'!$B$30,MATCH('Лист заказа Moonlight'!$H$17,'Таблица с данными'!$B$31:$B$34,0),6,1,1)))+(OFFSET('Таблица с данными'!$B$30,MATCH('Лист заказа Moonlight'!$H$17,'Таблица с данными'!$B$31:$B$34,0),7,1,1)))</definedName>
    <definedName name="Цена3">IF('Лист заказа Moonlight'!$B$18=0,"",('Таблица с данными'!$F$3*((224.64*('Лист заказа Moonlight'!$B$18/1000)+173.16*('Лист заказа Moonlight'!$C$18/1000*2+'Лист заказа Moonlight'!$B$18/1000)+374.4*('Лист заказа Moonlight'!$B$18/1000)+340.6*('Лист заказа Moonlight'!$B$18/1000)+743.08)+990+OFFSET('Таблица с данными'!$B$30,MATCH('Лист заказа Moonlight'!$H$18,'Таблица с данными'!$B$31:$B$34,0),6,1,1)))+(OFFSET('Таблица с данными'!$B$30,MATCH('Лист заказа Moonlight'!$H$18,'Таблица с данными'!$B$31:$B$34,0),7,1,1)))</definedName>
    <definedName name="Цена4">IF('Лист заказа Moonlight'!$B$19=0,"",('Таблица с данными'!$F$3*((224.64*('Лист заказа Moonlight'!$B$19/1000)+173.16*('Лист заказа Moonlight'!$C$19/1000*2+'Лист заказа Moonlight'!$B$19/1000)+374.4*('Лист заказа Moonlight'!$B$19/1000)+340.6*('Лист заказа Moonlight'!$B$19/1000)+743.08)+990+OFFSET('Таблица с данными'!$B$30,MATCH('Лист заказа Moonlight'!$H$19,'Таблица с данными'!$B$31:$B$34,0),6,1,1)))+(OFFSET('Таблица с данными'!$B$30,MATCH('Лист заказа Moonlight'!$H$19,'Таблица с данными'!$B$31:$B$34,0),7,1,1)))</definedName>
    <definedName name="Цена5">IF('Лист заказа Moonlight'!$B$20=0,"",('Таблица с данными'!$F$3*((224.64*('Лист заказа Moonlight'!$B$20/1000)+173.16*('Лист заказа Moonlight'!$C$20/1000*2+'Лист заказа Moonlight'!$B$20/1000)+374.4*('Лист заказа Moonlight'!$B$20/1000)+340.6*('Лист заказа Moonlight'!$B$20/1000)+743.08)+990+OFFSET('Таблица с данными'!$B$30,MATCH('Лист заказа Moonlight'!$H$20,'Таблица с данными'!$B$31:$B$34,0),6,1,1)))+(OFFSET('Таблица с данными'!$B$30,MATCH('Лист заказа Moonlight'!$H$20,'Таблица с данными'!$B$31:$B$34,0),7,1,1)))</definedName>
    <definedName name="Чертеж_лист_заказа1" localSheetId="1">OFFSET('Таблица с чертежами'!$B$1,MATCH('Заказ №1'!$J$17&amp;'Заказ №1'!$J$18,'Таблица с чертежами'!$B$2:$B$9&amp;'Таблица с чертежами'!$C$2:$C$9,0),2,1,1)</definedName>
    <definedName name="Чертеж_лист_заказа2" localSheetId="2">OFFSET('Таблица с чертежами'!$B$1,MATCH('Заказ №2'!$J$17&amp;'Заказ №2'!$J$18,'Таблица с чертежами'!$B$2:$B$9&amp;'Таблица с чертежами'!$C$2:$C$9,0),2,1,1)</definedName>
    <definedName name="Чертеж_лист_заказа3" localSheetId="3">OFFSET('Таблица с чертежами'!$B$1,MATCH('Заказ №3'!$J$17&amp;'Заказ №3'!$J$18,'Таблица с чертежами'!$B$2:$B$9&amp;'Таблица с чертежами'!$C$2:$C$9,0),2,1,1)</definedName>
    <definedName name="Чертеж_лист_заказа4" localSheetId="4">OFFSET('Таблица с чертежами'!$B$1,MATCH('Заказ №4'!$J$17&amp;'Заказ №4'!$J$18,'Таблица с чертежами'!$B$2:$B$9&amp;'Таблица с чертежами'!$C$2:$C$9,0),2,1,1)</definedName>
    <definedName name="Чертеж_лист_заказа5" localSheetId="5">OFFSET('Таблица с чертежами'!$B$1,MATCH('Заказ №5'!$J$17&amp;'Заказ №5'!$J$18,'Таблица с чертежами'!$B$2:$B$9&amp;'Таблица с чертежами'!$C$2:$C$9,0),2,1,1)</definedName>
    <definedName name="Чертеж_фрезеровка1" localSheetId="1">OFFSET('Таблица с чертежами'!$C$1,MATCH('Заказ №1'!$J$18,'Таблица с чертежами'!$C$2:$C$5,0),5,1,1)</definedName>
    <definedName name="Чертеж_фрезеровка2" localSheetId="2">OFFSET('Таблица с чертежами'!$C$1,MATCH('Заказ №2'!$J$18,'Таблица с чертежами'!$C$2:$C$5,0),5,1,1)</definedName>
    <definedName name="Чертеж_фрезеровка3" localSheetId="3">OFFSET('Таблица с чертежами'!$C$1,MATCH('Заказ №3'!$J$18,'Таблица с чертежами'!$C$2:$C$5,0),5,1,1)</definedName>
    <definedName name="Чертеж_фрезеровка4" localSheetId="4">OFFSET('Таблица с чертежами'!$C$1,MATCH('Заказ №4'!$J$18,'Таблица с чертежами'!$C$2:$C$5,0),5,1,1)</definedName>
    <definedName name="Чертеж_фрезеровка5" localSheetId="5">OFFSET('Таблица с чертежами'!$C$1,MATCH('Заказ №5'!$J$18,'Таблица с чертежами'!$C$2:$C$5,0),5,1,1)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3" i="2" l="1"/>
  <c r="D44" i="2"/>
  <c r="D45" i="2"/>
  <c r="D46" i="2"/>
  <c r="I35" i="7"/>
  <c r="I35" i="5"/>
  <c r="J21" i="8"/>
  <c r="I35" i="8" s="1"/>
  <c r="J21" i="7"/>
  <c r="J21" i="6"/>
  <c r="I35" i="6" s="1"/>
  <c r="J20" i="8"/>
  <c r="J19" i="8"/>
  <c r="J20" i="7"/>
  <c r="J19" i="7"/>
  <c r="J20" i="6"/>
  <c r="J19" i="6"/>
  <c r="J20" i="5"/>
  <c r="J19" i="5"/>
  <c r="J19" i="4"/>
  <c r="J20" i="4"/>
  <c r="J21" i="5"/>
  <c r="J21" i="4"/>
  <c r="I35" i="4" s="1"/>
  <c r="L16" i="1"/>
  <c r="M16" i="1" s="1"/>
  <c r="L17" i="1"/>
  <c r="M17" i="1" s="1"/>
  <c r="J18" i="8"/>
  <c r="D35" i="8" s="1"/>
  <c r="J18" i="7"/>
  <c r="D35" i="7" s="1"/>
  <c r="J18" i="6"/>
  <c r="D35" i="6" s="1"/>
  <c r="J18" i="5"/>
  <c r="J18" i="4"/>
  <c r="L20" i="1"/>
  <c r="M20" i="1" s="1"/>
  <c r="L19" i="1"/>
  <c r="M19" i="1" s="1"/>
  <c r="L18" i="1"/>
  <c r="M18" i="1" s="1"/>
  <c r="O17" i="1" a="1"/>
  <c r="O17" i="1" s="1"/>
  <c r="O20" i="1" a="1"/>
  <c r="O20" i="1" s="1"/>
  <c r="O19" i="1" a="1"/>
  <c r="O19" i="1" s="1"/>
  <c r="O18" i="1" a="1"/>
  <c r="O18" i="1" s="1"/>
  <c r="O16" i="1" a="1"/>
  <c r="O16" i="1" s="1"/>
  <c r="P31" i="4"/>
  <c r="D35" i="4" l="1"/>
  <c r="D35" i="5"/>
  <c r="K18" i="1" a="1"/>
  <c r="K18" i="1" s="1"/>
  <c r="A7" i="6" s="1"/>
  <c r="I25" i="8"/>
  <c r="J48" i="8"/>
  <c r="J47" i="8"/>
  <c r="J17" i="8"/>
  <c r="J16" i="8"/>
  <c r="G30" i="8" s="1"/>
  <c r="J15" i="8"/>
  <c r="G29" i="8" s="1"/>
  <c r="J14" i="8"/>
  <c r="G24" i="8" s="1"/>
  <c r="J13" i="8"/>
  <c r="J12" i="8"/>
  <c r="J29" i="8" s="1"/>
  <c r="J10" i="8"/>
  <c r="A41" i="8" a="1"/>
  <c r="A41" i="8" s="1"/>
  <c r="A40" i="8" a="1"/>
  <c r="A40" i="8" s="1"/>
  <c r="A39" i="8" a="1"/>
  <c r="A39" i="8" s="1"/>
  <c r="G34" i="8"/>
  <c r="G33" i="8"/>
  <c r="G32" i="8"/>
  <c r="B32" i="8"/>
  <c r="G31" i="8"/>
  <c r="B31" i="8"/>
  <c r="I30" i="7"/>
  <c r="J48" i="7"/>
  <c r="J47" i="7"/>
  <c r="J17" i="7"/>
  <c r="J16" i="7"/>
  <c r="G30" i="7" s="1"/>
  <c r="J15" i="7"/>
  <c r="G29" i="7" s="1"/>
  <c r="J14" i="7"/>
  <c r="B35" i="7" s="1" a="1"/>
  <c r="B35" i="7" s="1"/>
  <c r="J13" i="7"/>
  <c r="J12" i="7"/>
  <c r="J30" i="7" s="1"/>
  <c r="J10" i="7"/>
  <c r="J10" i="6"/>
  <c r="A41" i="7" a="1"/>
  <c r="A41" i="7" s="1"/>
  <c r="A40" i="7" a="1"/>
  <c r="A40" i="7" s="1"/>
  <c r="A39" i="7" a="1"/>
  <c r="A39" i="7" s="1"/>
  <c r="G34" i="7"/>
  <c r="G33" i="7"/>
  <c r="G32" i="7"/>
  <c r="B32" i="7"/>
  <c r="G31" i="7"/>
  <c r="B31" i="7"/>
  <c r="J10" i="5"/>
  <c r="J10" i="4"/>
  <c r="J12" i="5"/>
  <c r="J27" i="5" s="1"/>
  <c r="I25" i="6"/>
  <c r="J48" i="6"/>
  <c r="J47" i="6"/>
  <c r="J17" i="6"/>
  <c r="J16" i="6"/>
  <c r="G30" i="6" s="1"/>
  <c r="J15" i="6"/>
  <c r="G29" i="6" s="1"/>
  <c r="J14" i="6"/>
  <c r="B35" i="6" s="1" a="1"/>
  <c r="B35" i="6" s="1"/>
  <c r="J13" i="6"/>
  <c r="J25" i="6" s="1"/>
  <c r="J46" i="6" s="1"/>
  <c r="J12" i="6"/>
  <c r="J29" i="6" s="1"/>
  <c r="A41" i="6" a="1"/>
  <c r="A41" i="6" s="1"/>
  <c r="A40" i="6" a="1"/>
  <c r="A40" i="6" s="1"/>
  <c r="A39" i="6" a="1"/>
  <c r="A39" i="6" s="1"/>
  <c r="G34" i="6"/>
  <c r="G33" i="6"/>
  <c r="G32" i="6"/>
  <c r="B32" i="6"/>
  <c r="G31" i="6"/>
  <c r="B31" i="6"/>
  <c r="J48" i="5"/>
  <c r="J47" i="5"/>
  <c r="J17" i="5"/>
  <c r="J16" i="5"/>
  <c r="G30" i="5" s="1"/>
  <c r="J15" i="5"/>
  <c r="G29" i="5" s="1"/>
  <c r="J14" i="5"/>
  <c r="G25" i="5" s="1"/>
  <c r="J13" i="5"/>
  <c r="A41" i="5" a="1"/>
  <c r="A41" i="5" s="1"/>
  <c r="A40" i="5" a="1"/>
  <c r="A40" i="5" s="1"/>
  <c r="A39" i="5" a="1"/>
  <c r="A39" i="5" s="1"/>
  <c r="G34" i="5"/>
  <c r="G33" i="5"/>
  <c r="G32" i="5"/>
  <c r="B32" i="5"/>
  <c r="G31" i="5"/>
  <c r="B31" i="5"/>
  <c r="G31" i="2"/>
  <c r="C10" i="2"/>
  <c r="C27" i="2"/>
  <c r="G35" i="5" l="1"/>
  <c r="B35" i="5" a="1"/>
  <c r="B35" i="5" s="1"/>
  <c r="B35" i="8" a="1"/>
  <c r="B35" i="8" s="1"/>
  <c r="G35" i="8"/>
  <c r="G35" i="7"/>
  <c r="G35" i="6"/>
  <c r="G40" i="8"/>
  <c r="G25" i="7"/>
  <c r="G25" i="6"/>
  <c r="K20" i="1" a="1"/>
  <c r="K20" i="1" s="1"/>
  <c r="A7" i="8" s="1"/>
  <c r="K19" i="1" a="1"/>
  <c r="K19" i="1" s="1"/>
  <c r="A7" i="7" s="1"/>
  <c r="K16" i="1" a="1"/>
  <c r="K16" i="1" s="1"/>
  <c r="A7" i="4" s="1"/>
  <c r="K17" i="1" a="1"/>
  <c r="K17" i="1" s="1"/>
  <c r="A7" i="5" s="1"/>
  <c r="J27" i="8"/>
  <c r="I27" i="8"/>
  <c r="B28" i="8" a="1"/>
  <c r="B28" i="8" s="1"/>
  <c r="I25" i="7"/>
  <c r="J24" i="7"/>
  <c r="J27" i="7"/>
  <c r="J29" i="7"/>
  <c r="J30" i="8"/>
  <c r="B30" i="8" s="1" a="1"/>
  <c r="B30" i="8" s="1"/>
  <c r="J25" i="7"/>
  <c r="J46" i="7" s="1"/>
  <c r="J26" i="7"/>
  <c r="J24" i="8"/>
  <c r="I26" i="6"/>
  <c r="J49" i="6"/>
  <c r="I30" i="6"/>
  <c r="G25" i="8"/>
  <c r="G27" i="6"/>
  <c r="G28" i="6"/>
  <c r="G40" i="6"/>
  <c r="G26" i="6"/>
  <c r="B28" i="6" a="1"/>
  <c r="B28" i="6" s="1"/>
  <c r="J26" i="6"/>
  <c r="I27" i="5"/>
  <c r="J49" i="8"/>
  <c r="G41" i="7"/>
  <c r="J29" i="5"/>
  <c r="J30" i="5"/>
  <c r="B30" i="5" s="1" a="1"/>
  <c r="B30" i="5" s="1"/>
  <c r="B29" i="7" a="1"/>
  <c r="B29" i="7" s="1"/>
  <c r="J26" i="8"/>
  <c r="I30" i="8"/>
  <c r="J25" i="8"/>
  <c r="B26" i="8" a="1"/>
  <c r="B26" i="8" s="1"/>
  <c r="G28" i="8"/>
  <c r="I28" i="8"/>
  <c r="B29" i="8" a="1"/>
  <c r="B29" i="8" s="1"/>
  <c r="I31" i="8"/>
  <c r="B24" i="8" a="1"/>
  <c r="B24" i="8" s="1"/>
  <c r="G26" i="8"/>
  <c r="I26" i="8"/>
  <c r="G41" i="8"/>
  <c r="I24" i="8"/>
  <c r="B27" i="8" a="1"/>
  <c r="B27" i="8" s="1"/>
  <c r="I29" i="8"/>
  <c r="I41" i="8" s="1"/>
  <c r="K41" i="8" s="1"/>
  <c r="I32" i="8"/>
  <c r="G39" i="8"/>
  <c r="B25" i="8" a="1"/>
  <c r="B25" i="8" s="1"/>
  <c r="G27" i="8"/>
  <c r="I33" i="8"/>
  <c r="I34" i="8"/>
  <c r="J49" i="7"/>
  <c r="I27" i="7"/>
  <c r="G40" i="7"/>
  <c r="B26" i="7" a="1"/>
  <c r="B26" i="7" s="1"/>
  <c r="I31" i="7"/>
  <c r="G28" i="7"/>
  <c r="I28" i="7"/>
  <c r="B24" i="7" a="1"/>
  <c r="B24" i="7" s="1"/>
  <c r="G26" i="7"/>
  <c r="I26" i="7"/>
  <c r="B28" i="7" a="1"/>
  <c r="B28" i="7" s="1"/>
  <c r="G24" i="7"/>
  <c r="I24" i="7"/>
  <c r="B27" i="7" a="1"/>
  <c r="B27" i="7" s="1"/>
  <c r="I29" i="7"/>
  <c r="I32" i="7"/>
  <c r="G39" i="7"/>
  <c r="B25" i="7" a="1"/>
  <c r="B25" i="7" s="1"/>
  <c r="G27" i="7"/>
  <c r="B30" i="7" a="1"/>
  <c r="B30" i="7" s="1"/>
  <c r="I33" i="7"/>
  <c r="I34" i="7"/>
  <c r="G39" i="6"/>
  <c r="B26" i="6" a="1"/>
  <c r="B26" i="6" s="1"/>
  <c r="B24" i="6" a="1"/>
  <c r="B24" i="6" s="1"/>
  <c r="B25" i="6" a="1"/>
  <c r="B25" i="6" s="1"/>
  <c r="J27" i="6"/>
  <c r="J30" i="6"/>
  <c r="B30" i="6" s="1" a="1"/>
  <c r="B30" i="6" s="1"/>
  <c r="I28" i="6"/>
  <c r="B29" i="6" a="1"/>
  <c r="B29" i="6" s="1"/>
  <c r="I31" i="6"/>
  <c r="G41" i="6"/>
  <c r="G24" i="6"/>
  <c r="I24" i="6"/>
  <c r="B27" i="6" a="1"/>
  <c r="B27" i="6" s="1"/>
  <c r="I29" i="6"/>
  <c r="I41" i="6" s="1"/>
  <c r="K41" i="6" s="1"/>
  <c r="I32" i="6"/>
  <c r="J24" i="6"/>
  <c r="I33" i="6"/>
  <c r="I27" i="6"/>
  <c r="I34" i="6"/>
  <c r="J26" i="5"/>
  <c r="I33" i="5"/>
  <c r="J49" i="5"/>
  <c r="J25" i="5"/>
  <c r="J46" i="5" s="1"/>
  <c r="J24" i="5"/>
  <c r="I25" i="5"/>
  <c r="B28" i="5" a="1"/>
  <c r="B28" i="5" s="1"/>
  <c r="I30" i="5"/>
  <c r="G40" i="5"/>
  <c r="G27" i="5"/>
  <c r="B26" i="5" a="1"/>
  <c r="B26" i="5" s="1"/>
  <c r="G28" i="5"/>
  <c r="B24" i="5" a="1"/>
  <c r="B24" i="5" s="1"/>
  <c r="I28" i="5"/>
  <c r="G26" i="5"/>
  <c r="B29" i="5" a="1"/>
  <c r="B29" i="5" s="1"/>
  <c r="I31" i="5"/>
  <c r="I26" i="5"/>
  <c r="B25" i="5" a="1"/>
  <c r="B25" i="5" s="1"/>
  <c r="G41" i="5"/>
  <c r="G24" i="5"/>
  <c r="I24" i="5"/>
  <c r="B27" i="5" a="1"/>
  <c r="B27" i="5" s="1"/>
  <c r="I29" i="5"/>
  <c r="I32" i="5"/>
  <c r="G39" i="5"/>
  <c r="I34" i="5"/>
  <c r="J17" i="4"/>
  <c r="J16" i="4"/>
  <c r="J15" i="4"/>
  <c r="J14" i="4"/>
  <c r="B35" i="4" s="1" a="1"/>
  <c r="B35" i="4" s="1"/>
  <c r="J13" i="4"/>
  <c r="J12" i="4"/>
  <c r="A41" i="4" a="1"/>
  <c r="A41" i="4" s="1"/>
  <c r="A40" i="4" a="1"/>
  <c r="A40" i="4" s="1"/>
  <c r="A39" i="4" a="1"/>
  <c r="A39" i="4" s="1"/>
  <c r="G34" i="4"/>
  <c r="G33" i="4"/>
  <c r="G32" i="4"/>
  <c r="B32" i="4"/>
  <c r="G31" i="4"/>
  <c r="B31" i="4"/>
  <c r="G35" i="4" l="1"/>
  <c r="I39" i="8"/>
  <c r="K39" i="8" s="1"/>
  <c r="I28" i="4"/>
  <c r="I26" i="4"/>
  <c r="J29" i="4"/>
  <c r="J27" i="4"/>
  <c r="I41" i="7"/>
  <c r="K41" i="7" s="1"/>
  <c r="I39" i="7"/>
  <c r="K39" i="7" s="1"/>
  <c r="I41" i="5"/>
  <c r="K41" i="5" s="1"/>
  <c r="I40" i="6"/>
  <c r="K40" i="6" s="1"/>
  <c r="I33" i="4"/>
  <c r="J49" i="4"/>
  <c r="I40" i="7"/>
  <c r="K40" i="7" s="1"/>
  <c r="B28" i="4" a="1"/>
  <c r="B28" i="4" s="1"/>
  <c r="G39" i="4"/>
  <c r="G40" i="4"/>
  <c r="G29" i="4"/>
  <c r="G41" i="4"/>
  <c r="J46" i="8"/>
  <c r="I40" i="8"/>
  <c r="K40" i="8" s="1"/>
  <c r="I39" i="6"/>
  <c r="K39" i="6" s="1"/>
  <c r="I39" i="5"/>
  <c r="K39" i="5" s="1"/>
  <c r="I40" i="5"/>
  <c r="K40" i="5" s="1"/>
  <c r="B26" i="4" a="1"/>
  <c r="B26" i="4" s="1"/>
  <c r="B29" i="4" a="1"/>
  <c r="B29" i="4" s="1"/>
  <c r="G25" i="4"/>
  <c r="G28" i="4"/>
  <c r="G26" i="4"/>
  <c r="G24" i="4"/>
  <c r="B25" i="4" a="1"/>
  <c r="B25" i="4" s="1"/>
  <c r="G27" i="4"/>
  <c r="J25" i="4"/>
  <c r="J24" i="4"/>
  <c r="G30" i="4"/>
  <c r="J26" i="4"/>
  <c r="B24" i="4" a="1"/>
  <c r="B24" i="4" s="1"/>
  <c r="J30" i="4"/>
  <c r="B30" i="4" s="1" a="1"/>
  <c r="B30" i="4" s="1"/>
  <c r="B27" i="4" a="1"/>
  <c r="B27" i="4" s="1"/>
  <c r="I24" i="4"/>
  <c r="I34" i="4"/>
  <c r="I30" i="4"/>
  <c r="I29" i="4"/>
  <c r="I27" i="4"/>
  <c r="I25" i="4"/>
  <c r="I31" i="4"/>
  <c r="I32" i="4"/>
  <c r="D32" i="2"/>
  <c r="D33" i="2"/>
  <c r="D34" i="2"/>
  <c r="D31" i="2"/>
  <c r="C34" i="2"/>
  <c r="C33" i="2"/>
  <c r="C32" i="2"/>
  <c r="C31" i="2"/>
  <c r="I41" i="4" l="1"/>
  <c r="K41" i="4" s="1"/>
  <c r="I39" i="4"/>
  <c r="K39" i="4" s="1"/>
  <c r="I40" i="4"/>
  <c r="K40" i="4" s="1"/>
  <c r="J46" i="4"/>
  <c r="J48" i="4"/>
  <c r="J47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<sst xmlns="http://schemas.openxmlformats.org/spreadsheetml/2006/main" count="365" uniqueCount="113">
  <si>
    <t>Ширина (B)</t>
  </si>
  <si>
    <t xml:space="preserve">Глубина (H) </t>
  </si>
  <si>
    <t>Цвет профиля</t>
  </si>
  <si>
    <t>Цвет рассеивателя</t>
  </si>
  <si>
    <t>Цветовая температура</t>
  </si>
  <si>
    <t>Обозначение</t>
  </si>
  <si>
    <t>Наименование</t>
  </si>
  <si>
    <t>Цвет</t>
  </si>
  <si>
    <t>Кол-во</t>
  </si>
  <si>
    <t>Длина</t>
  </si>
  <si>
    <t>Примечание</t>
  </si>
  <si>
    <t>Профиль передний</t>
  </si>
  <si>
    <t>Профиль задний</t>
  </si>
  <si>
    <t>Рассеиватель</t>
  </si>
  <si>
    <t>Светодиодная лента</t>
  </si>
  <si>
    <t>Заглушка (комплект)</t>
  </si>
  <si>
    <t>Саморез п\сф 2,5x10</t>
  </si>
  <si>
    <t>Винт M2,5х5мм (потай)</t>
  </si>
  <si>
    <t>Винт M2,5х4мм (полукр)</t>
  </si>
  <si>
    <t>Серебро</t>
  </si>
  <si>
    <t>Шампань</t>
  </si>
  <si>
    <t>Золото</t>
  </si>
  <si>
    <t>B</t>
  </si>
  <si>
    <t>S</t>
  </si>
  <si>
    <t>G</t>
  </si>
  <si>
    <t>C</t>
  </si>
  <si>
    <t xml:space="preserve">Цвета профиля </t>
  </si>
  <si>
    <t xml:space="preserve">Цвета рассеивателя </t>
  </si>
  <si>
    <t>Молочный</t>
  </si>
  <si>
    <t>Антрацит</t>
  </si>
  <si>
    <t>Натуральный</t>
  </si>
  <si>
    <t>Теплый</t>
  </si>
  <si>
    <t>N</t>
  </si>
  <si>
    <t>W</t>
  </si>
  <si>
    <t>Вывод провода</t>
  </si>
  <si>
    <t>Слева</t>
  </si>
  <si>
    <t>Справа</t>
  </si>
  <si>
    <t>Профиль боковой (левый)</t>
  </si>
  <si>
    <t>Профиль боковой (правый)</t>
  </si>
  <si>
    <t>Длина светодиодной ленты</t>
  </si>
  <si>
    <t>ЛИСТ ЗАКАЗА ПОЛКИ MOONLIGHT</t>
  </si>
  <si>
    <t>№ счета</t>
  </si>
  <si>
    <t>Закачик</t>
  </si>
  <si>
    <t>Дата составления заказа</t>
  </si>
  <si>
    <t>Дата согласования заказа</t>
  </si>
  <si>
    <t>Цвет полки</t>
  </si>
  <si>
    <t>Вывод провода, лев./прав.</t>
  </si>
  <si>
    <t>Полко-держатели</t>
  </si>
  <si>
    <t>Присадка, мм</t>
  </si>
  <si>
    <t>Полкодержатели</t>
  </si>
  <si>
    <t>Присадка, а</t>
  </si>
  <si>
    <t>Присадка, а1</t>
  </si>
  <si>
    <t>Количество</t>
  </si>
  <si>
    <t>№</t>
  </si>
  <si>
    <t>Заказ №</t>
  </si>
  <si>
    <t>Прим.</t>
  </si>
  <si>
    <t>Нет</t>
  </si>
  <si>
    <t>Согласовано (Заказчик)</t>
  </si>
  <si>
    <t>Утверждаю (Менеджер)</t>
  </si>
  <si>
    <t>Согласовано (Менеджер)</t>
  </si>
  <si>
    <t>Утверждаю (Начальник производства)</t>
  </si>
  <si>
    <t>SH120820.M</t>
  </si>
  <si>
    <t>SH120820.S</t>
  </si>
  <si>
    <t>SH120820.B</t>
  </si>
  <si>
    <t>Длина профиля</t>
  </si>
  <si>
    <t>Позиция</t>
  </si>
  <si>
    <t>Фрезерная операция бокового профиля</t>
  </si>
  <si>
    <t>Артикул</t>
  </si>
  <si>
    <t>L</t>
  </si>
  <si>
    <t>.1</t>
  </si>
  <si>
    <t xml:space="preserve">  </t>
  </si>
  <si>
    <t>Расход профиля</t>
  </si>
  <si>
    <t>Кол-во хлыстов</t>
  </si>
  <si>
    <t>Профиль боковой/задний</t>
  </si>
  <si>
    <t>Расход, мм</t>
  </si>
  <si>
    <t>1</t>
  </si>
  <si>
    <t>Цена</t>
  </si>
  <si>
    <t>Коэффициент</t>
  </si>
  <si>
    <t>k</t>
  </si>
  <si>
    <t>SH1</t>
  </si>
  <si>
    <t>Провод с разъемом MiniPlug</t>
  </si>
  <si>
    <t>Мощность, Вт/шт</t>
  </si>
  <si>
    <r>
      <t>Ширина полки, B мм</t>
    </r>
    <r>
      <rPr>
        <sz val="11"/>
        <color rgb="FFFF0000"/>
        <rFont val="Times New Roman"/>
        <family val="1"/>
        <charset val="204"/>
      </rPr>
      <t>*</t>
    </r>
  </si>
  <si>
    <r>
      <t>Глубина полки, Н мм</t>
    </r>
    <r>
      <rPr>
        <sz val="11"/>
        <color rgb="FFFF0000"/>
        <rFont val="Times New Roman"/>
        <family val="1"/>
        <charset val="204"/>
      </rPr>
      <t>*</t>
    </r>
  </si>
  <si>
    <t>Мощность итого, Вт</t>
  </si>
  <si>
    <r>
      <t>b</t>
    </r>
    <r>
      <rPr>
        <sz val="11"/>
        <color rgb="FFFF0000"/>
        <rFont val="Times New Roman"/>
        <family val="1"/>
        <charset val="204"/>
      </rPr>
      <t>**</t>
    </r>
  </si>
  <si>
    <r>
      <rPr>
        <sz val="11"/>
        <color theme="1"/>
        <rFont val="Times New Roman"/>
        <family val="1"/>
        <charset val="204"/>
      </rPr>
      <t>a</t>
    </r>
    <r>
      <rPr>
        <sz val="11"/>
        <color rgb="FFFF0000"/>
        <rFont val="Times New Roman"/>
        <family val="1"/>
        <charset val="204"/>
      </rPr>
      <t>**</t>
    </r>
  </si>
  <si>
    <t>Посадка накл.пд</t>
  </si>
  <si>
    <t>Размер стекла для полки рассчитывается по формуле: B-1 x H-11
* Чистовые размеры полки
** Размер а - расстояние от лицевой стороны полки до центра присадки, 
размер b - расстояние от задней части полки до центра присадки.</t>
  </si>
  <si>
    <t>Присадка, b</t>
  </si>
  <si>
    <t>Присадка, k</t>
  </si>
  <si>
    <t>Присадка, k (a-11)</t>
  </si>
  <si>
    <t xml:space="preserve">Присадка, k (a-11) </t>
  </si>
  <si>
    <t xml:space="preserve">
Стандартный вывод кабеля -СПРАВА
Максимальная ширина и глубина полки -900 мм
! Возможность заказа полки шириной более 900 мм уточняйте у менеджера</t>
  </si>
  <si>
    <t>Скрытый, врезной</t>
  </si>
  <si>
    <t>Посадка скр.пд.</t>
  </si>
  <si>
    <t>Накладной</t>
  </si>
  <si>
    <t>Граната, врезной</t>
  </si>
  <si>
    <t>SH</t>
  </si>
  <si>
    <t>V</t>
  </si>
  <si>
    <t>SH041157.S</t>
  </si>
  <si>
    <t>Артикул к полкодержателям</t>
  </si>
  <si>
    <t>серебро</t>
  </si>
  <si>
    <t>неро</t>
  </si>
  <si>
    <t>золото</t>
  </si>
  <si>
    <t>B2-0812-MK</t>
  </si>
  <si>
    <t>B2-0812-SK</t>
  </si>
  <si>
    <t>B2-0812-BK</t>
  </si>
  <si>
    <t>B2-0812-GK</t>
  </si>
  <si>
    <t>Неро</t>
  </si>
  <si>
    <t>шампань</t>
  </si>
  <si>
    <t>Посадка граната</t>
  </si>
  <si>
    <t>Фабрика Цена, руб/шт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</si>
</sst>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1A1A1A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7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0" xfId="0" applyFont="1" applyFill="1" applyBorder="1"/>
    <xf numFmtId="0" fontId="1" fillId="0" borderId="0" xfId="0" applyFont="1" applyBorder="1"/>
    <xf numFmtId="49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1" fillId="5" borderId="1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9" borderId="2" xfId="0" applyFont="1" applyFill="1" applyBorder="1" applyAlignment="1">
      <alignment horizontal="left" vertical="center"/>
    </xf>
    <xf numFmtId="0" fontId="1" fillId="8" borderId="3" xfId="0" applyFont="1" applyFill="1" applyBorder="1" applyAlignment="1">
      <alignment horizontal="left" vertical="center"/>
    </xf>
    <xf numFmtId="0" fontId="1" fillId="8" borderId="1" xfId="0" applyFont="1" applyFill="1" applyBorder="1" applyAlignment="1">
      <alignment horizontal="left" vertical="center"/>
    </xf>
    <xf numFmtId="0" fontId="1" fillId="10" borderId="2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1" fillId="11" borderId="1" xfId="0" applyFont="1" applyFill="1" applyBorder="1" applyAlignment="1">
      <alignment horizontal="left" vertical="center"/>
    </xf>
    <xf numFmtId="0" fontId="1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0" borderId="0" xfId="0" applyFont="1" applyBorder="1" applyProtection="1">
      <protection hidden="1"/>
    </xf>
    <xf numFmtId="0" fontId="1" fillId="0" borderId="0" xfId="0" applyFont="1" applyBorder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 wrapText="1"/>
      <protection hidden="1"/>
    </xf>
    <xf numFmtId="0" fontId="1" fillId="0" borderId="0" xfId="0" applyFont="1" applyBorder="1" applyAlignment="1" applyProtection="1">
      <protection hidden="1"/>
    </xf>
    <xf numFmtId="49" fontId="1" fillId="0" borderId="0" xfId="0" applyNumberFormat="1" applyFont="1" applyBorder="1" applyAlignment="1" applyProtection="1">
      <alignment vertical="justify" wrapText="1"/>
      <protection hidden="1"/>
    </xf>
    <xf numFmtId="49" fontId="1" fillId="0" borderId="0" xfId="0" applyNumberFormat="1" applyFont="1" applyAlignment="1" applyProtection="1">
      <alignment vertical="justify" wrapText="1"/>
      <protection hidden="1"/>
    </xf>
    <xf numFmtId="0" fontId="1" fillId="0" borderId="0" xfId="0" applyFont="1" applyAlignment="1" applyProtection="1">
      <alignment wrapText="1"/>
      <protection hidden="1"/>
    </xf>
    <xf numFmtId="0" fontId="3" fillId="0" borderId="1" xfId="0" applyFont="1" applyBorder="1" applyAlignment="1" applyProtection="1">
      <alignment vertical="center"/>
      <protection locked="0" hidden="1"/>
    </xf>
    <xf numFmtId="0" fontId="3" fillId="0" borderId="3" xfId="0" applyFont="1" applyBorder="1" applyAlignment="1" applyProtection="1">
      <alignment vertical="center"/>
      <protection locked="0" hidden="1"/>
    </xf>
    <xf numFmtId="49" fontId="1" fillId="0" borderId="3" xfId="0" applyNumberFormat="1" applyFont="1" applyBorder="1" applyAlignment="1" applyProtection="1">
      <alignment horizontal="center" vertical="center" wrapText="1"/>
      <protection locked="0" hidden="1"/>
    </xf>
    <xf numFmtId="49" fontId="1" fillId="0" borderId="1" xfId="0" applyNumberFormat="1" applyFont="1" applyBorder="1" applyAlignment="1" applyProtection="1">
      <alignment horizontal="center" vertical="center" wrapText="1"/>
      <protection locked="0" hidden="1"/>
    </xf>
    <xf numFmtId="0" fontId="1" fillId="0" borderId="1" xfId="0" applyNumberFormat="1" applyFont="1" applyBorder="1" applyAlignment="1" applyProtection="1">
      <alignment horizontal="center" vertical="center" wrapText="1"/>
      <protection locked="0" hidden="1"/>
    </xf>
    <xf numFmtId="0" fontId="1" fillId="0" borderId="0" xfId="0" applyFont="1" applyBorder="1" applyProtection="1">
      <protection locked="0" hidden="1"/>
    </xf>
    <xf numFmtId="0" fontId="1" fillId="0" borderId="0" xfId="0" applyFont="1" applyBorder="1" applyAlignment="1" applyProtection="1">
      <alignment wrapText="1"/>
      <protection locked="0" hidden="1"/>
    </xf>
    <xf numFmtId="0" fontId="1" fillId="0" borderId="0" xfId="0" applyFont="1" applyBorder="1" applyAlignment="1" applyProtection="1">
      <protection locked="0" hidden="1"/>
    </xf>
    <xf numFmtId="0" fontId="1" fillId="0" borderId="0" xfId="0" applyFont="1" applyBorder="1" applyAlignment="1" applyProtection="1">
      <alignment vertical="center"/>
      <protection locked="0" hidden="1"/>
    </xf>
    <xf numFmtId="0" fontId="1" fillId="0" borderId="0" xfId="0" applyNumberFormat="1" applyFont="1" applyBorder="1" applyAlignment="1" applyProtection="1">
      <protection locked="0" hidden="1"/>
    </xf>
    <xf numFmtId="0" fontId="1" fillId="0" borderId="0" xfId="0" applyFont="1" applyBorder="1" applyAlignment="1" applyProtection="1">
      <alignment horizontal="left" vertical="center" wrapText="1"/>
      <protection locked="0" hidden="1"/>
    </xf>
    <xf numFmtId="0" fontId="1" fillId="0" borderId="0" xfId="0" applyFont="1" applyBorder="1" applyAlignment="1" applyProtection="1">
      <alignment vertical="center" wrapText="1"/>
      <protection locked="0" hidden="1"/>
    </xf>
    <xf numFmtId="0" fontId="1" fillId="0" borderId="0" xfId="0" applyFont="1" applyBorder="1" applyAlignment="1" applyProtection="1">
      <alignment vertical="center"/>
      <protection hidden="1"/>
    </xf>
    <xf numFmtId="0" fontId="2" fillId="0" borderId="0" xfId="0" applyFont="1" applyBorder="1" applyAlignment="1" applyProtection="1">
      <protection hidden="1"/>
    </xf>
    <xf numFmtId="49" fontId="5" fillId="0" borderId="1" xfId="0" applyNumberFormat="1" applyFont="1" applyBorder="1" applyAlignment="1" applyProtection="1">
      <alignment horizontal="center" vertical="center" wrapText="1"/>
      <protection locked="0" hidden="1"/>
    </xf>
    <xf numFmtId="0" fontId="3" fillId="0" borderId="1" xfId="0" applyFont="1" applyBorder="1" applyAlignment="1" applyProtection="1">
      <alignment horizontal="center" vertical="center" wrapText="1"/>
      <protection locked="0" hidden="1"/>
    </xf>
    <xf numFmtId="0" fontId="1" fillId="0" borderId="2" xfId="0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3" fillId="0" borderId="3" xfId="0" applyNumberFormat="1" applyFont="1" applyBorder="1" applyAlignment="1" applyProtection="1">
      <alignment horizontal="center" vertical="center"/>
      <protection locked="0" hidden="1"/>
    </xf>
    <xf numFmtId="0" fontId="3" fillId="0" borderId="3" xfId="0" applyNumberFormat="1" applyFont="1" applyBorder="1" applyAlignment="1" applyProtection="1">
      <alignment horizontal="center" vertical="center"/>
      <protection locked="0" hidden="1"/>
    </xf>
    <xf numFmtId="0" fontId="3" fillId="0" borderId="4" xfId="0" applyNumberFormat="1" applyFont="1" applyBorder="1" applyAlignment="1" applyProtection="1">
      <alignment horizontal="center" vertical="center"/>
      <protection locked="0" hidden="1"/>
    </xf>
    <xf numFmtId="0" fontId="3" fillId="0" borderId="4" xfId="0" applyNumberFormat="1" applyFont="1" applyBorder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Border="1" applyAlignment="1" applyProtection="1">
      <alignment vertical="center"/>
      <protection locked="0" hidden="1"/>
    </xf>
    <xf numFmtId="0" fontId="3" fillId="0" borderId="0" xfId="0" applyNumberFormat="1" applyFont="1" applyBorder="1" applyAlignment="1" applyProtection="1">
      <alignment horizontal="center" vertical="center" wrapText="1"/>
      <protection locked="0" hidden="1"/>
    </xf>
    <xf numFmtId="49" fontId="1" fillId="0" borderId="0" xfId="0" applyNumberFormat="1" applyFont="1" applyBorder="1" applyAlignment="1" applyProtection="1">
      <alignment horizontal="center" vertical="center" wrapText="1"/>
      <protection locked="0" hidden="1"/>
    </xf>
    <xf numFmtId="0" fontId="3" fillId="0" borderId="0" xfId="0" applyNumberFormat="1" applyFont="1" applyBorder="1" applyAlignment="1" applyProtection="1">
      <alignment horizontal="center" vertical="center"/>
      <protection locked="0" hidden="1"/>
    </xf>
    <xf numFmtId="0" fontId="1" fillId="0" borderId="0" xfId="0" applyNumberFormat="1" applyFont="1" applyBorder="1" applyAlignment="1" applyProtection="1">
      <alignment horizontal="center" vertical="center" wrapText="1"/>
      <protection locked="0" hidden="1"/>
    </xf>
    <xf numFmtId="0" fontId="3" fillId="0" borderId="0" xfId="0" applyNumberFormat="1" applyFont="1" applyBorder="1" applyAlignment="1" applyProtection="1">
      <alignment vertical="center"/>
      <protection locked="0" hidden="1"/>
    </xf>
    <xf numFmtId="0" fontId="1" fillId="0" borderId="0" xfId="0" applyFont="1" applyBorder="1" applyAlignment="1" applyProtection="1">
      <alignment horizontal="left" vertical="center"/>
      <protection locked="0" hidden="1"/>
    </xf>
    <xf numFmtId="0" fontId="1" fillId="0" borderId="0" xfId="0" applyFont="1" applyBorder="1" applyAlignment="1" applyProtection="1">
      <alignment horizontal="center" vertical="center" wrapText="1"/>
      <protection locked="0" hidden="1"/>
    </xf>
    <xf numFmtId="0" fontId="3" fillId="0" borderId="0" xfId="0" applyFont="1" applyBorder="1" applyAlignment="1" applyProtection="1">
      <alignment vertical="center"/>
      <protection hidden="1"/>
    </xf>
    <xf numFmtId="49" fontId="3" fillId="0" borderId="0" xfId="0" applyNumberFormat="1" applyFont="1" applyBorder="1" applyAlignment="1" applyProtection="1">
      <alignment vertical="center"/>
      <protection locked="0" hidden="1"/>
    </xf>
    <xf numFmtId="49" fontId="3" fillId="0" borderId="0" xfId="0" applyNumberFormat="1" applyFont="1" applyBorder="1" applyAlignment="1" applyProtection="1">
      <alignment vertical="center" wrapText="1"/>
      <protection locked="0" hidden="1"/>
    </xf>
    <xf numFmtId="0" fontId="4" fillId="0" borderId="0" xfId="0" applyNumberFormat="1" applyFont="1" applyBorder="1" applyAlignment="1" applyProtection="1">
      <alignment vertical="center"/>
      <protection locked="0" hidden="1"/>
    </xf>
    <xf numFmtId="49" fontId="6" fillId="0" borderId="0" xfId="0" applyNumberFormat="1" applyFont="1" applyBorder="1" applyAlignment="1" applyProtection="1">
      <alignment vertical="center" wrapText="1"/>
      <protection locked="0" hidden="1"/>
    </xf>
    <xf numFmtId="0" fontId="1" fillId="0" borderId="0" xfId="0" applyFont="1" applyBorder="1" applyAlignment="1" applyProtection="1">
      <alignment vertical="center" wrapText="1"/>
      <protection hidden="1"/>
    </xf>
    <xf numFmtId="0" fontId="6" fillId="0" borderId="0" xfId="0" applyNumberFormat="1" applyFont="1" applyBorder="1" applyAlignment="1" applyProtection="1">
      <alignment vertical="center" wrapText="1"/>
      <protection locked="0" hidden="1"/>
    </xf>
    <xf numFmtId="2" fontId="1" fillId="0" borderId="0" xfId="0" applyNumberFormat="1" applyFont="1" applyAlignment="1">
      <alignment horizontal="right" vertical="center"/>
    </xf>
    <xf numFmtId="0" fontId="9" fillId="0" borderId="20" xfId="0" applyFont="1" applyBorder="1" applyAlignment="1" applyProtection="1">
      <alignment vertical="top" wrapText="1"/>
      <protection hidden="1"/>
    </xf>
    <xf numFmtId="0" fontId="9" fillId="0" borderId="0" xfId="0" applyFont="1" applyBorder="1" applyAlignment="1" applyProtection="1">
      <alignment vertical="top" wrapText="1"/>
      <protection hidden="1"/>
    </xf>
    <xf numFmtId="0" fontId="9" fillId="0" borderId="5" xfId="0" applyFont="1" applyBorder="1" applyAlignment="1" applyProtection="1">
      <alignment vertical="top" wrapText="1"/>
      <protection hidden="1"/>
    </xf>
    <xf numFmtId="0" fontId="9" fillId="0" borderId="22" xfId="0" applyFont="1" applyBorder="1" applyAlignment="1" applyProtection="1">
      <alignment vertical="top" wrapText="1"/>
      <protection hidden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3" fillId="0" borderId="4" xfId="0" applyNumberFormat="1" applyFont="1" applyBorder="1" applyAlignment="1" applyProtection="1">
      <alignment horizontal="center" vertical="center"/>
      <protection locked="0" hidden="1"/>
    </xf>
    <xf numFmtId="0" fontId="4" fillId="0" borderId="1" xfId="0" applyFont="1" applyBorder="1" applyAlignment="1" applyProtection="1">
      <alignment horizontal="center" vertical="center" wrapText="1"/>
      <protection locked="0" hidden="1"/>
    </xf>
    <xf numFmtId="0" fontId="1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49" fontId="1" fillId="0" borderId="0" xfId="0" applyNumberFormat="1" applyFont="1" applyBorder="1" applyAlignment="1" applyProtection="1">
      <alignment vertical="justify" wrapText="1"/>
      <protection locked="0" hidden="1"/>
    </xf>
    <xf numFmtId="0" fontId="1" fillId="0" borderId="0" xfId="0" applyFont="1" applyAlignment="1" applyProtection="1">
      <alignment wrapText="1"/>
      <protection locked="0" hidden="1"/>
    </xf>
    <xf numFmtId="0" fontId="1" fillId="12" borderId="2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1" fillId="13" borderId="1" xfId="0" applyFont="1" applyFill="1" applyBorder="1" applyAlignment="1">
      <alignment horizontal="left" vertical="center"/>
    </xf>
    <xf numFmtId="49" fontId="3" fillId="0" borderId="0" xfId="0" applyNumberFormat="1" applyFont="1" applyFill="1" applyBorder="1" applyAlignment="1" applyProtection="1">
      <alignment vertical="center"/>
      <protection locked="0" hidden="1"/>
    </xf>
    <xf numFmtId="1" fontId="3" fillId="0" borderId="1" xfId="0" applyNumberFormat="1" applyFont="1" applyBorder="1" applyAlignment="1" applyProtection="1">
      <alignment horizontal="center" vertical="center" wrapText="1"/>
      <protection locked="0" hidden="1"/>
    </xf>
    <xf numFmtId="0" fontId="1" fillId="0" borderId="0" xfId="0" applyFont="1" applyProtection="1">
      <protection locked="0" hidden="1"/>
    </xf>
    <xf numFmtId="2" fontId="1" fillId="0" borderId="0" xfId="0" applyNumberFormat="1" applyFont="1" applyBorder="1" applyProtection="1">
      <protection locked="0" hidden="1"/>
    </xf>
    <xf numFmtId="2" fontId="1" fillId="0" borderId="0" xfId="0" applyNumberFormat="1" applyFont="1" applyBorder="1" applyAlignment="1" applyProtection="1">
      <alignment vertical="justify" wrapText="1"/>
      <protection locked="0" hidden="1"/>
    </xf>
    <xf numFmtId="1" fontId="3" fillId="0" borderId="1" xfId="0" applyNumberFormat="1" applyFont="1" applyBorder="1" applyAlignment="1" applyProtection="1">
      <alignment horizontal="center"/>
      <protection hidden="1"/>
    </xf>
    <xf numFmtId="1" fontId="3" fillId="0" borderId="1" xfId="0" applyNumberFormat="1" applyFont="1" applyBorder="1" applyAlignment="1" applyProtection="1">
      <alignment horizontal="center" vertical="justify" wrapText="1"/>
      <protection locked="0" hidden="1"/>
    </xf>
    <xf numFmtId="0" fontId="9" fillId="0" borderId="18" xfId="0" applyFont="1" applyBorder="1" applyAlignment="1" applyProtection="1">
      <alignment vertical="top" wrapText="1"/>
      <protection hidden="1"/>
    </xf>
    <xf numFmtId="0" fontId="9" fillId="0" borderId="17" xfId="0" applyFont="1" applyBorder="1" applyAlignment="1" applyProtection="1">
      <alignment vertical="top" wrapText="1"/>
      <protection hidden="1"/>
    </xf>
    <xf numFmtId="0" fontId="1" fillId="0" borderId="19" xfId="0" applyFont="1" applyBorder="1" applyProtection="1">
      <protection hidden="1"/>
    </xf>
    <xf numFmtId="0" fontId="1" fillId="0" borderId="21" xfId="0" applyFont="1" applyBorder="1" applyProtection="1">
      <protection hidden="1"/>
    </xf>
    <xf numFmtId="0" fontId="1" fillId="0" borderId="23" xfId="0" applyFont="1" applyBorder="1" applyProtection="1">
      <protection hidden="1"/>
    </xf>
    <xf numFmtId="0" fontId="2" fillId="0" borderId="0" xfId="0" applyFont="1" applyBorder="1" applyAlignment="1" applyProtection="1">
      <protection locked="0" hidden="1"/>
    </xf>
    <xf numFmtId="0" fontId="7" fillId="0" borderId="0" xfId="0" applyFont="1" applyBorder="1" applyAlignment="1" applyProtection="1">
      <protection locked="0" hidden="1"/>
    </xf>
    <xf numFmtId="0" fontId="8" fillId="0" borderId="0" xfId="0" applyFont="1" applyBorder="1" applyAlignment="1" applyProtection="1"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0" fontId="1" fillId="14" borderId="2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0" fontId="1" fillId="15" borderId="1" xfId="0" applyFont="1" applyFill="1" applyBorder="1" applyAlignment="1">
      <alignment horizontal="left" vertical="center"/>
    </xf>
    <xf numFmtId="0" fontId="11" fillId="0" borderId="0" xfId="0" applyFont="1"/>
    <xf numFmtId="0" fontId="9" fillId="0" borderId="0" xfId="0" applyFont="1" applyBorder="1" applyAlignment="1" applyProtection="1">
      <alignment horizontal="center" vertical="top" wrapText="1"/>
      <protection hidden="1"/>
    </xf>
    <xf numFmtId="0" fontId="1" fillId="0" borderId="0" xfId="0" applyNumberFormat="1" applyFont="1" applyFill="1" applyAlignment="1">
      <alignment horizontal="right" vertical="center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1" fillId="0" borderId="15" xfId="0" applyFont="1" applyBorder="1" applyAlignment="1" applyProtection="1">
      <alignment horizontal="center" vertical="center" wrapText="1"/>
      <protection hidden="1"/>
    </xf>
    <xf numFmtId="0" fontId="1" fillId="0" borderId="16" xfId="0" applyFont="1" applyBorder="1" applyAlignment="1" applyProtection="1">
      <alignment horizontal="center" vertical="center" wrapText="1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left" vertical="center"/>
      <protection hidden="1"/>
    </xf>
    <xf numFmtId="0" fontId="3" fillId="0" borderId="9" xfId="0" applyFont="1" applyBorder="1" applyAlignment="1" applyProtection="1">
      <alignment horizontal="left" vertical="center"/>
      <protection hidden="1"/>
    </xf>
    <xf numFmtId="0" fontId="3" fillId="0" borderId="10" xfId="0" applyFont="1" applyBorder="1" applyAlignment="1" applyProtection="1">
      <alignment horizontal="left" vertical="center"/>
      <protection hidden="1"/>
    </xf>
    <xf numFmtId="0" fontId="3" fillId="0" borderId="4" xfId="0" applyFont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49" fontId="3" fillId="0" borderId="1" xfId="0" applyNumberFormat="1" applyFont="1" applyBorder="1" applyAlignment="1" applyProtection="1">
      <alignment horizontal="center" vertical="center"/>
      <protection locked="0" hidden="1"/>
    </xf>
    <xf numFmtId="0" fontId="1" fillId="0" borderId="5" xfId="0" applyFont="1" applyBorder="1" applyAlignment="1" applyProtection="1">
      <alignment horizontal="left" vertical="center"/>
      <protection hidden="1"/>
    </xf>
    <xf numFmtId="0" fontId="1" fillId="0" borderId="22" xfId="0" applyFont="1" applyBorder="1" applyAlignment="1" applyProtection="1">
      <alignment horizontal="left" vertical="center"/>
      <protection hidden="1"/>
    </xf>
    <xf numFmtId="0" fontId="1" fillId="0" borderId="23" xfId="0" applyFont="1" applyBorder="1" applyAlignment="1" applyProtection="1">
      <alignment horizontal="left" vertical="center"/>
      <protection hidden="1"/>
    </xf>
    <xf numFmtId="0" fontId="1" fillId="0" borderId="4" xfId="0" applyFont="1" applyBorder="1" applyAlignment="1" applyProtection="1">
      <alignment horizontal="center"/>
      <protection locked="0" hidden="1"/>
    </xf>
    <xf numFmtId="0" fontId="1" fillId="0" borderId="9" xfId="0" applyFont="1" applyBorder="1" applyAlignment="1" applyProtection="1">
      <alignment horizontal="center"/>
      <protection locked="0" hidden="1"/>
    </xf>
    <xf numFmtId="0" fontId="1" fillId="0" borderId="10" xfId="0" applyFont="1" applyBorder="1" applyAlignment="1" applyProtection="1">
      <alignment horizontal="center"/>
      <protection locked="0" hidden="1"/>
    </xf>
    <xf numFmtId="0" fontId="9" fillId="0" borderId="1" xfId="0" applyFont="1" applyBorder="1" applyAlignment="1" applyProtection="1">
      <alignment horizontal="left" vertical="top" wrapText="1"/>
      <protection hidden="1"/>
    </xf>
    <xf numFmtId="2" fontId="9" fillId="0" borderId="1" xfId="0" applyNumberFormat="1" applyFont="1" applyBorder="1" applyAlignment="1" applyProtection="1">
      <alignment horizontal="left" vertical="top" wrapText="1"/>
      <protection hidden="1"/>
    </xf>
    <xf numFmtId="2" fontId="9" fillId="0" borderId="15" xfId="0" applyNumberFormat="1" applyFont="1" applyBorder="1" applyAlignment="1" applyProtection="1">
      <alignment horizontal="left" vertical="top" wrapText="1"/>
      <protection hidden="1"/>
    </xf>
    <xf numFmtId="0" fontId="1" fillId="0" borderId="3" xfId="0" applyFont="1" applyBorder="1" applyAlignment="1" applyProtection="1">
      <alignment horizontal="left" vertical="center"/>
      <protection hidden="1"/>
    </xf>
    <xf numFmtId="0" fontId="1" fillId="0" borderId="1" xfId="0" applyFont="1" applyBorder="1" applyAlignment="1" applyProtection="1">
      <alignment horizontal="center" vertical="center"/>
      <protection locked="0" hidden="1"/>
    </xf>
    <xf numFmtId="0" fontId="9" fillId="0" borderId="0" xfId="0" applyFont="1" applyBorder="1" applyAlignment="1" applyProtection="1">
      <alignment horizontal="center" vertical="top" wrapText="1"/>
      <protection hidden="1"/>
    </xf>
    <xf numFmtId="0" fontId="9" fillId="0" borderId="21" xfId="0" applyFont="1" applyBorder="1" applyAlignment="1" applyProtection="1">
      <alignment horizontal="center" vertical="top" wrapText="1"/>
      <protection hidden="1"/>
    </xf>
    <xf numFmtId="0" fontId="9" fillId="0" borderId="0" xfId="0" applyFont="1" applyBorder="1" applyAlignment="1" applyProtection="1">
      <alignment horizontal="left" vertical="top" wrapText="1"/>
      <protection hidden="1"/>
    </xf>
    <xf numFmtId="0" fontId="1" fillId="0" borderId="6" xfId="0" applyFont="1" applyBorder="1" applyAlignment="1" applyProtection="1">
      <alignment horizontal="center" vertical="center" wrapText="1"/>
      <protection hidden="1"/>
    </xf>
    <xf numFmtId="0" fontId="1" fillId="0" borderId="7" xfId="0" applyFont="1" applyBorder="1" applyAlignment="1" applyProtection="1">
      <alignment horizontal="center" vertical="center" wrapText="1"/>
      <protection hidden="1"/>
    </xf>
    <xf numFmtId="0" fontId="1" fillId="0" borderId="8" xfId="0" applyFont="1" applyBorder="1" applyAlignment="1" applyProtection="1">
      <alignment horizontal="center" vertical="center" wrapText="1"/>
      <protection hidden="1"/>
    </xf>
    <xf numFmtId="0" fontId="1" fillId="0" borderId="6" xfId="0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0" fontId="1" fillId="0" borderId="8" xfId="0" applyFont="1" applyBorder="1" applyAlignment="1" applyProtection="1">
      <alignment horizont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0" fontId="1" fillId="0" borderId="7" xfId="0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locked="0" hidden="1"/>
    </xf>
    <xf numFmtId="0" fontId="1" fillId="0" borderId="7" xfId="0" applyFont="1" applyBorder="1" applyAlignment="1" applyProtection="1">
      <alignment horizontal="center" vertical="center"/>
      <protection locked="0" hidden="1"/>
    </xf>
    <xf numFmtId="0" fontId="1" fillId="0" borderId="8" xfId="0" applyFont="1" applyBorder="1" applyAlignment="1" applyProtection="1">
      <alignment horizontal="center" vertical="center"/>
      <protection locked="0" hidden="1"/>
    </xf>
    <xf numFmtId="0" fontId="1" fillId="0" borderId="7" xfId="0" applyFont="1" applyBorder="1" applyAlignment="1" applyProtection="1">
      <alignment horizontal="center" vertical="center" wrapText="1"/>
      <protection locked="0" hidden="1"/>
    </xf>
    <xf numFmtId="0" fontId="1" fillId="0" borderId="8" xfId="0" applyFont="1" applyBorder="1" applyAlignment="1" applyProtection="1">
      <alignment horizontal="center" vertical="center" wrapText="1"/>
      <protection locked="0" hidden="1"/>
    </xf>
    <xf numFmtId="0" fontId="1" fillId="0" borderId="6" xfId="0" applyFont="1" applyBorder="1" applyAlignment="1" applyProtection="1">
      <alignment horizontal="center" vertical="center" wrapText="1"/>
      <protection locked="0" hidden="1"/>
    </xf>
    <xf numFmtId="0" fontId="3" fillId="0" borderId="11" xfId="0" applyNumberFormat="1" applyFont="1" applyBorder="1" applyAlignment="1" applyProtection="1">
      <alignment horizontal="center" vertical="center"/>
      <protection locked="0" hidden="1"/>
    </xf>
    <xf numFmtId="0" fontId="3" fillId="0" borderId="13" xfId="0" applyNumberFormat="1" applyFont="1" applyBorder="1" applyAlignment="1" applyProtection="1">
      <alignment horizontal="center" vertical="center"/>
      <protection locked="0" hidden="1"/>
    </xf>
    <xf numFmtId="0" fontId="3" fillId="0" borderId="12" xfId="0" applyNumberFormat="1" applyFont="1" applyBorder="1" applyAlignment="1" applyProtection="1">
      <alignment horizontal="center" vertical="center"/>
      <protection locked="0" hidden="1"/>
    </xf>
    <xf numFmtId="49" fontId="3" fillId="0" borderId="11" xfId="0" applyNumberFormat="1" applyFont="1" applyBorder="1" applyAlignment="1" applyProtection="1">
      <alignment horizontal="center" vertical="center"/>
      <protection locked="0" hidden="1"/>
    </xf>
    <xf numFmtId="49" fontId="3" fillId="0" borderId="13" xfId="0" applyNumberFormat="1" applyFont="1" applyBorder="1" applyAlignment="1" applyProtection="1">
      <alignment horizontal="center" vertical="center"/>
      <protection locked="0" hidden="1"/>
    </xf>
    <xf numFmtId="49" fontId="3" fillId="0" borderId="12" xfId="0" applyNumberFormat="1" applyFont="1" applyBorder="1" applyAlignment="1" applyProtection="1">
      <alignment horizontal="center" vertical="center"/>
      <protection locked="0" hidden="1"/>
    </xf>
    <xf numFmtId="0" fontId="3" fillId="0" borderId="4" xfId="0" applyNumberFormat="1" applyFont="1" applyBorder="1" applyAlignment="1" applyProtection="1">
      <alignment horizontal="center" vertical="center"/>
      <protection locked="0" hidden="1"/>
    </xf>
    <xf numFmtId="0" fontId="3" fillId="0" borderId="9" xfId="0" applyNumberFormat="1" applyFont="1" applyBorder="1" applyAlignment="1" applyProtection="1">
      <alignment horizontal="center" vertical="center"/>
      <protection locked="0" hidden="1"/>
    </xf>
    <xf numFmtId="0" fontId="3" fillId="0" borderId="10" xfId="0" applyNumberFormat="1" applyFont="1" applyBorder="1" applyAlignment="1" applyProtection="1">
      <alignment horizontal="center" vertical="center"/>
      <protection locked="0" hidden="1"/>
    </xf>
    <xf numFmtId="49" fontId="3" fillId="0" borderId="4" xfId="0" applyNumberFormat="1" applyFont="1" applyBorder="1" applyAlignment="1" applyProtection="1">
      <alignment horizontal="center" vertical="center"/>
      <protection locked="0" hidden="1"/>
    </xf>
    <xf numFmtId="49" fontId="3" fillId="0" borderId="9" xfId="0" applyNumberFormat="1" applyFont="1" applyBorder="1" applyAlignment="1" applyProtection="1">
      <alignment horizontal="center" vertical="center"/>
      <protection locked="0" hidden="1"/>
    </xf>
    <xf numFmtId="49" fontId="3" fillId="0" borderId="10" xfId="0" applyNumberFormat="1" applyFont="1" applyBorder="1" applyAlignment="1" applyProtection="1">
      <alignment horizontal="center" vertical="center"/>
      <protection locked="0" hidden="1"/>
    </xf>
    <xf numFmtId="164" fontId="3" fillId="0" borderId="4" xfId="0" applyNumberFormat="1" applyFont="1" applyBorder="1" applyAlignment="1" applyProtection="1">
      <alignment horizontal="center" vertical="center" wrapText="1"/>
      <protection locked="0" hidden="1"/>
    </xf>
    <xf numFmtId="164" fontId="3" fillId="0" borderId="10" xfId="0" applyNumberFormat="1" applyFont="1" applyBorder="1" applyAlignment="1" applyProtection="1">
      <alignment horizontal="center" vertical="center" wrapText="1"/>
      <protection locked="0" hidden="1"/>
    </xf>
    <xf numFmtId="164" fontId="3" fillId="0" borderId="11" xfId="0" applyNumberFormat="1" applyFont="1" applyBorder="1" applyAlignment="1" applyProtection="1">
      <alignment horizontal="center" vertical="center" wrapText="1"/>
      <protection locked="0" hidden="1"/>
    </xf>
    <xf numFmtId="164" fontId="3" fillId="0" borderId="12" xfId="0" applyNumberFormat="1" applyFont="1" applyBorder="1" applyAlignment="1" applyProtection="1">
      <alignment horizontal="center" vertical="center" wrapText="1"/>
      <protection locked="0" hidden="1"/>
    </xf>
    <xf numFmtId="49" fontId="3" fillId="0" borderId="4" xfId="0" applyNumberFormat="1" applyFont="1" applyBorder="1" applyAlignment="1" applyProtection="1">
      <alignment horizontal="center" vertical="center" wrapText="1"/>
      <protection locked="0" hidden="1"/>
    </xf>
    <xf numFmtId="49" fontId="3" fillId="0" borderId="9" xfId="0" applyNumberFormat="1" applyFont="1" applyBorder="1" applyAlignment="1" applyProtection="1">
      <alignment horizontal="center" vertical="center" wrapText="1"/>
      <protection locked="0" hidden="1"/>
    </xf>
    <xf numFmtId="49" fontId="3" fillId="0" borderId="10" xfId="0" applyNumberFormat="1" applyFont="1" applyBorder="1" applyAlignment="1" applyProtection="1">
      <alignment horizontal="center" vertical="center" wrapText="1"/>
      <protection locked="0" hidden="1"/>
    </xf>
    <xf numFmtId="0" fontId="4" fillId="0" borderId="4" xfId="0" applyNumberFormat="1" applyFont="1" applyBorder="1" applyAlignment="1" applyProtection="1">
      <alignment horizontal="center" vertical="center"/>
      <protection locked="0" hidden="1"/>
    </xf>
    <xf numFmtId="0" fontId="4" fillId="0" borderId="10" xfId="0" applyNumberFormat="1" applyFont="1" applyBorder="1" applyAlignment="1" applyProtection="1">
      <alignment horizontal="center" vertical="center"/>
      <protection locked="0" hidden="1"/>
    </xf>
    <xf numFmtId="0" fontId="3" fillId="0" borderId="4" xfId="0" applyNumberFormat="1" applyFont="1" applyBorder="1" applyAlignment="1" applyProtection="1">
      <alignment horizontal="center" vertical="center" wrapText="1"/>
      <protection locked="0" hidden="1"/>
    </xf>
    <xf numFmtId="0" fontId="3" fillId="0" borderId="10" xfId="0" applyNumberFormat="1" applyFont="1" applyBorder="1" applyAlignment="1" applyProtection="1">
      <alignment horizontal="center" vertical="center" wrapText="1"/>
      <protection locked="0" hidden="1"/>
    </xf>
    <xf numFmtId="0" fontId="2" fillId="0" borderId="14" xfId="0" applyFont="1" applyBorder="1" applyAlignment="1" applyProtection="1">
      <alignment horizontal="center"/>
      <protection hidden="1"/>
    </xf>
    <xf numFmtId="0" fontId="1" fillId="0" borderId="8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1" fillId="0" borderId="6" xfId="0" applyFont="1" applyBorder="1" applyAlignment="1" applyProtection="1">
      <alignment horizontal="left" vertical="center"/>
      <protection hidden="1"/>
    </xf>
    <xf numFmtId="0" fontId="1" fillId="0" borderId="7" xfId="0" applyFont="1" applyBorder="1" applyAlignment="1" applyProtection="1">
      <alignment horizontal="left" vertical="center"/>
      <protection hidden="1"/>
    </xf>
    <xf numFmtId="0" fontId="1" fillId="0" borderId="8" xfId="0" applyFont="1" applyBorder="1" applyAlignment="1" applyProtection="1">
      <alignment horizontal="left" vertical="center"/>
      <protection hidden="1"/>
    </xf>
    <xf numFmtId="49" fontId="1" fillId="0" borderId="6" xfId="0" applyNumberFormat="1" applyFont="1" applyBorder="1" applyAlignment="1" applyProtection="1">
      <alignment horizontal="center" vertical="center" wrapText="1"/>
      <protection locked="0" hidden="1"/>
    </xf>
    <xf numFmtId="0" fontId="1" fillId="0" borderId="7" xfId="0" applyNumberFormat="1" applyFont="1" applyBorder="1" applyAlignment="1" applyProtection="1">
      <alignment horizontal="center" vertical="center" wrapText="1"/>
      <protection locked="0" hidden="1"/>
    </xf>
    <xf numFmtId="0" fontId="1" fillId="0" borderId="8" xfId="0" applyNumberFormat="1" applyFont="1" applyBorder="1" applyAlignment="1" applyProtection="1">
      <alignment horizontal="center" vertical="center" wrapText="1"/>
      <protection locked="0" hidden="1"/>
    </xf>
    <xf numFmtId="0" fontId="1" fillId="0" borderId="6" xfId="0" applyNumberFormat="1" applyFont="1" applyBorder="1" applyAlignment="1" applyProtection="1">
      <alignment horizontal="center" vertical="center" wrapText="1"/>
      <protection locked="0" hidden="1"/>
    </xf>
    <xf numFmtId="0" fontId="1" fillId="0" borderId="6" xfId="0" applyFont="1" applyBorder="1" applyAlignment="1" applyProtection="1">
      <alignment vertical="center"/>
      <protection hidden="1"/>
    </xf>
    <xf numFmtId="0" fontId="1" fillId="0" borderId="7" xfId="0" applyFont="1" applyBorder="1" applyAlignment="1" applyProtection="1">
      <alignment vertical="center"/>
      <protection hidden="1"/>
    </xf>
    <xf numFmtId="0" fontId="1" fillId="0" borderId="8" xfId="0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3" fillId="0" borderId="11" xfId="0" applyNumberFormat="1" applyFont="1" applyBorder="1" applyAlignment="1" applyProtection="1">
      <alignment horizontal="center" vertical="center" wrapText="1"/>
      <protection locked="0" hidden="1"/>
    </xf>
    <xf numFmtId="0" fontId="3" fillId="0" borderId="12" xfId="0" applyNumberFormat="1" applyFont="1" applyBorder="1" applyAlignment="1" applyProtection="1">
      <alignment horizontal="center" vertical="center" wrapText="1"/>
      <protection locked="0" hidden="1"/>
    </xf>
    <xf numFmtId="49" fontId="1" fillId="0" borderId="6" xfId="0" applyNumberFormat="1" applyFont="1" applyBorder="1" applyAlignment="1" applyProtection="1">
      <alignment horizontal="left" vertical="justify" wrapText="1"/>
      <protection hidden="1"/>
    </xf>
    <xf numFmtId="49" fontId="1" fillId="0" borderId="7" xfId="0" applyNumberFormat="1" applyFont="1" applyBorder="1" applyAlignment="1" applyProtection="1">
      <alignment horizontal="left" vertical="justify" wrapText="1"/>
      <protection hidden="1"/>
    </xf>
    <xf numFmtId="49" fontId="1" fillId="0" borderId="8" xfId="0" applyNumberFormat="1" applyFont="1" applyBorder="1" applyAlignment="1" applyProtection="1">
      <alignment horizontal="left" vertical="justify" wrapText="1"/>
      <protection hidden="1"/>
    </xf>
    <xf numFmtId="1" fontId="1" fillId="0" borderId="6" xfId="0" applyNumberFormat="1" applyFont="1" applyBorder="1" applyAlignment="1" applyProtection="1">
      <alignment horizontal="center" vertical="center" wrapText="1"/>
      <protection locked="0" hidden="1"/>
    </xf>
    <xf numFmtId="49" fontId="1" fillId="0" borderId="6" xfId="0" applyNumberFormat="1" applyFont="1" applyBorder="1" applyAlignment="1" applyProtection="1">
      <alignment horizontal="center" vertical="center"/>
      <protection locked="0" hidden="1"/>
    </xf>
    <xf numFmtId="0" fontId="1" fillId="0" borderId="7" xfId="0" applyNumberFormat="1" applyFont="1" applyBorder="1" applyAlignment="1" applyProtection="1">
      <alignment horizontal="center" vertical="center"/>
      <protection locked="0" hidden="1"/>
    </xf>
    <xf numFmtId="0" fontId="1" fillId="0" borderId="8" xfId="0" applyNumberFormat="1" applyFont="1" applyBorder="1" applyAlignment="1" applyProtection="1">
      <alignment horizontal="center" vertical="center"/>
      <protection locked="0" hidden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0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5" Type="http://schemas.openxmlformats.org/officeDocument/2006/relationships/image" Target="../media/image30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95250</xdr:rowOff>
    </xdr:from>
    <xdr:to>
      <xdr:col>4</xdr:col>
      <xdr:colOff>457199</xdr:colOff>
      <xdr:row>4</xdr:row>
      <xdr:rowOff>66675</xdr:rowOff>
    </xdr:to>
    <xdr:sp macro="" textlink="">
      <xdr:nvSpPr>
        <xdr:cNvPr id="53" name="Text Box 296">
          <a:extLst>
            <a:ext uri="{FF2B5EF4-FFF2-40B4-BE49-F238E27FC236}">
              <a16:creationId xmlns:a16="http://schemas.microsoft.com/office/drawing/2014/main" id="{2BF2A011-BAA5-45EC-9CC4-DE046D2968E5}"/>
            </a:ext>
          </a:extLst>
        </xdr:cNvPr>
        <xdr:cNvSpPr txBox="1">
          <a:spLocks noChangeArrowheads="1"/>
        </xdr:cNvSpPr>
      </xdr:nvSpPr>
      <xdr:spPr bwMode="auto">
        <a:xfrm>
          <a:off x="95250" y="95250"/>
          <a:ext cx="2828924" cy="7715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endParaRPr lang="ru-RU" sz="16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561974</xdr:colOff>
      <xdr:row>0</xdr:row>
      <xdr:rowOff>152400</xdr:rowOff>
    </xdr:from>
    <xdr:to>
      <xdr:col>13</xdr:col>
      <xdr:colOff>600074</xdr:colOff>
      <xdr:row>4</xdr:row>
      <xdr:rowOff>47626</xdr:rowOff>
    </xdr:to>
    <xdr:pic>
      <xdr:nvPicPr>
        <xdr:cNvPr id="54" name="Picture 800">
          <a:extLst>
            <a:ext uri="{FF2B5EF4-FFF2-40B4-BE49-F238E27FC236}">
              <a16:creationId xmlns:a16="http://schemas.microsoft.com/office/drawing/2014/main" id="{1A0DBCA9-2F56-447D-9D82-6BFF80C40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49" y="152400"/>
          <a:ext cx="4838700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45596</xdr:colOff>
      <xdr:row>24</xdr:row>
      <xdr:rowOff>117712</xdr:rowOff>
    </xdr:from>
    <xdr:to>
      <xdr:col>5</xdr:col>
      <xdr:colOff>729380</xdr:colOff>
      <xdr:row>28</xdr:row>
      <xdr:rowOff>23453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691079C-B882-46FB-B94D-BBEB567B5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36546" y="6280387"/>
          <a:ext cx="683784" cy="70584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171451</xdr:colOff>
      <xdr:row>24</xdr:row>
      <xdr:rowOff>152401</xdr:rowOff>
    </xdr:from>
    <xdr:to>
      <xdr:col>1</xdr:col>
      <xdr:colOff>797529</xdr:colOff>
      <xdr:row>27</xdr:row>
      <xdr:rowOff>66676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5C4A015-5CAC-47BC-BF03-18813BABA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6315076"/>
          <a:ext cx="626078" cy="514350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371476</xdr:colOff>
      <xdr:row>21</xdr:row>
      <xdr:rowOff>66675</xdr:rowOff>
    </xdr:from>
    <xdr:to>
      <xdr:col>10</xdr:col>
      <xdr:colOff>1095376</xdr:colOff>
      <xdr:row>24</xdr:row>
      <xdr:rowOff>192662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1681CDF-16B2-48B1-9C29-4800B615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6" y="4448175"/>
          <a:ext cx="1485900" cy="1573787"/>
        </a:xfrm>
        <a:prstGeom prst="rect">
          <a:avLst/>
        </a:prstGeom>
      </xdr:spPr>
    </xdr:pic>
    <xdr:clientData/>
  </xdr:twoCellAnchor>
  <xdr:twoCellAnchor editAs="oneCell">
    <xdr:from>
      <xdr:col>13</xdr:col>
      <xdr:colOff>24492</xdr:colOff>
      <xdr:row>21</xdr:row>
      <xdr:rowOff>126565</xdr:rowOff>
    </xdr:from>
    <xdr:to>
      <xdr:col>14</xdr:col>
      <xdr:colOff>844818</xdr:colOff>
      <xdr:row>24</xdr:row>
      <xdr:rowOff>100325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DDC4515-C2F1-4DA3-8ABD-CD7C9BFF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68567" y="4841440"/>
          <a:ext cx="1439451" cy="142156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24</xdr:row>
      <xdr:rowOff>180975</xdr:rowOff>
    </xdr:from>
    <xdr:to>
      <xdr:col>4</xdr:col>
      <xdr:colOff>314325</xdr:colOff>
      <xdr:row>27</xdr:row>
      <xdr:rowOff>74489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3BFE336-E8F1-4B0D-9700-7DA34BDE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6343650"/>
          <a:ext cx="876300" cy="493589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123824</xdr:colOff>
      <xdr:row>21</xdr:row>
      <xdr:rowOff>113812</xdr:rowOff>
    </xdr:from>
    <xdr:to>
      <xdr:col>12</xdr:col>
      <xdr:colOff>666750</xdr:colOff>
      <xdr:row>24</xdr:row>
      <xdr:rowOff>177903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F3DA4DB-F5FB-4DB6-B2D0-A06F6B006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48649" y="4828687"/>
          <a:ext cx="1352551" cy="15118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0</xdr:row>
      <xdr:rowOff>95250</xdr:rowOff>
    </xdr:from>
    <xdr:to>
      <xdr:col>3</xdr:col>
      <xdr:colOff>485773</xdr:colOff>
      <xdr:row>4</xdr:row>
      <xdr:rowOff>11205</xdr:rowOff>
    </xdr:to>
    <xdr:sp macro="" textlink="">
      <xdr:nvSpPr>
        <xdr:cNvPr id="2" name="Text Box 296">
          <a:extLst>
            <a:ext uri="{FF2B5EF4-FFF2-40B4-BE49-F238E27FC236}">
              <a16:creationId xmlns:a16="http://schemas.microsoft.com/office/drawing/2014/main" id="{5880327C-2259-4C50-B30C-A006B991B0AE}"/>
            </a:ext>
          </a:extLst>
        </xdr:cNvPr>
        <xdr:cNvSpPr txBox="1">
          <a:spLocks noChangeArrowheads="1"/>
        </xdr:cNvSpPr>
      </xdr:nvSpPr>
      <xdr:spPr bwMode="auto">
        <a:xfrm>
          <a:off x="1400734" y="95250"/>
          <a:ext cx="2110627" cy="72277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Компания "НоркПалм"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Тел/факс: (495) 921-3999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e-mail: info@norkpalm.ru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90"/>
              </a:solidFill>
              <a:latin typeface="Arial"/>
              <a:cs typeface="Arial"/>
            </a:rPr>
            <a:t>www.norkpalm.ru</a:t>
          </a:r>
          <a:endParaRPr lang="ru-RU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ru-RU" sz="16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590549</xdr:colOff>
      <xdr:row>0</xdr:row>
      <xdr:rowOff>152400</xdr:rowOff>
    </xdr:from>
    <xdr:to>
      <xdr:col>11</xdr:col>
      <xdr:colOff>428624</xdr:colOff>
      <xdr:row>4</xdr:row>
      <xdr:rowOff>47626</xdr:rowOff>
    </xdr:to>
    <xdr:pic>
      <xdr:nvPicPr>
        <xdr:cNvPr id="3" name="Picture 800">
          <a:extLst>
            <a:ext uri="{FF2B5EF4-FFF2-40B4-BE49-F238E27FC236}">
              <a16:creationId xmlns:a16="http://schemas.microsoft.com/office/drawing/2014/main" id="{73FC18CF-A0F8-4DE7-ACA1-E457F42EC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899" y="152400"/>
          <a:ext cx="4705350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151559</xdr:colOff>
          <xdr:row>44</xdr:row>
          <xdr:rowOff>165290</xdr:rowOff>
        </xdr:from>
        <xdr:to>
          <xdr:col>3</xdr:col>
          <xdr:colOff>571500</xdr:colOff>
          <xdr:row>53</xdr:row>
          <xdr:rowOff>29203</xdr:rowOff>
        </xdr:to>
        <xdr:pic>
          <xdr:nvPicPr>
            <xdr:cNvPr id="4" name="Рисунок 3">
              <a:extLst>
                <a:ext uri="{FF2B5EF4-FFF2-40B4-BE49-F238E27FC236}">
                  <a16:creationId xmlns:a16="http://schemas.microsoft.com/office/drawing/2014/main" id="{AEFA4797-0563-4BB6-9CCB-059F47C18DD1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фрезеровка1" spid="_x0000_s473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151559" y="9634261"/>
              <a:ext cx="2235294" cy="1735295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119061</xdr:colOff>
          <xdr:row>9</xdr:row>
          <xdr:rowOff>19614</xdr:rowOff>
        </xdr:from>
        <xdr:to>
          <xdr:col>5</xdr:col>
          <xdr:colOff>190501</xdr:colOff>
          <xdr:row>20</xdr:row>
          <xdr:rowOff>170437</xdr:rowOff>
        </xdr:to>
        <xdr:pic>
          <xdr:nvPicPr>
            <xdr:cNvPr id="5" name="Рисунок 4">
              <a:extLst>
                <a:ext uri="{FF2B5EF4-FFF2-40B4-BE49-F238E27FC236}">
                  <a16:creationId xmlns:a16="http://schemas.microsoft.com/office/drawing/2014/main" id="{7CDA50DD-ACF9-448A-800D-6836F88EF8B7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лист_заказа1" spid="_x0000_s473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724179" y="1935820"/>
              <a:ext cx="3097028" cy="2492852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0</xdr:row>
      <xdr:rowOff>95250</xdr:rowOff>
    </xdr:from>
    <xdr:to>
      <xdr:col>3</xdr:col>
      <xdr:colOff>485773</xdr:colOff>
      <xdr:row>4</xdr:row>
      <xdr:rowOff>11205</xdr:rowOff>
    </xdr:to>
    <xdr:sp macro="" textlink="">
      <xdr:nvSpPr>
        <xdr:cNvPr id="2" name="Text Box 296">
          <a:extLst>
            <a:ext uri="{FF2B5EF4-FFF2-40B4-BE49-F238E27FC236}">
              <a16:creationId xmlns:a16="http://schemas.microsoft.com/office/drawing/2014/main" id="{768A8F2E-61E2-4AE8-A659-19B8AF57630E}"/>
            </a:ext>
          </a:extLst>
        </xdr:cNvPr>
        <xdr:cNvSpPr txBox="1">
          <a:spLocks noChangeArrowheads="1"/>
        </xdr:cNvSpPr>
      </xdr:nvSpPr>
      <xdr:spPr bwMode="auto">
        <a:xfrm>
          <a:off x="190499" y="95250"/>
          <a:ext cx="2124074" cy="71605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Компания "НоркПалм"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Тел/факс: (495) 921-3999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e-mail: info@norkpalm.ru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90"/>
              </a:solidFill>
              <a:latin typeface="Arial"/>
              <a:cs typeface="Arial"/>
            </a:rPr>
            <a:t>www.norkpalm.ru</a:t>
          </a:r>
          <a:endParaRPr lang="ru-RU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ru-RU" sz="16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590549</xdr:colOff>
      <xdr:row>0</xdr:row>
      <xdr:rowOff>152400</xdr:rowOff>
    </xdr:from>
    <xdr:to>
      <xdr:col>11</xdr:col>
      <xdr:colOff>428624</xdr:colOff>
      <xdr:row>4</xdr:row>
      <xdr:rowOff>47626</xdr:rowOff>
    </xdr:to>
    <xdr:pic>
      <xdr:nvPicPr>
        <xdr:cNvPr id="3" name="Picture 800">
          <a:extLst>
            <a:ext uri="{FF2B5EF4-FFF2-40B4-BE49-F238E27FC236}">
              <a16:creationId xmlns:a16="http://schemas.microsoft.com/office/drawing/2014/main" id="{E09411D8-95A0-4912-994F-EEA942A82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152400"/>
          <a:ext cx="4714875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151559</xdr:colOff>
          <xdr:row>44</xdr:row>
          <xdr:rowOff>165290</xdr:rowOff>
        </xdr:from>
        <xdr:to>
          <xdr:col>3</xdr:col>
          <xdr:colOff>571379</xdr:colOff>
          <xdr:row>53</xdr:row>
          <xdr:rowOff>29108</xdr:rowOff>
        </xdr:to>
        <xdr:pic>
          <xdr:nvPicPr>
            <xdr:cNvPr id="4" name="Рисунок 3">
              <a:extLst>
                <a:ext uri="{FF2B5EF4-FFF2-40B4-BE49-F238E27FC236}">
                  <a16:creationId xmlns:a16="http://schemas.microsoft.com/office/drawing/2014/main" id="{DAFF1116-1B37-41EC-9633-3F53819D0F9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фрезеровка2" spid="_x0000_s773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151559" y="9634261"/>
              <a:ext cx="2235173" cy="173520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119061</xdr:colOff>
          <xdr:row>9</xdr:row>
          <xdr:rowOff>19614</xdr:rowOff>
        </xdr:from>
        <xdr:to>
          <xdr:col>5</xdr:col>
          <xdr:colOff>189473</xdr:colOff>
          <xdr:row>20</xdr:row>
          <xdr:rowOff>172385</xdr:rowOff>
        </xdr:to>
        <xdr:pic>
          <xdr:nvPicPr>
            <xdr:cNvPr id="5" name="Рисунок 4">
              <a:extLst>
                <a:ext uri="{FF2B5EF4-FFF2-40B4-BE49-F238E27FC236}">
                  <a16:creationId xmlns:a16="http://schemas.microsoft.com/office/drawing/2014/main" id="{0F7DB718-51EF-47C0-BB22-DC015806B937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лист_заказа2" spid="_x0000_s774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119061" y="1935820"/>
              <a:ext cx="3096000" cy="249480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0</xdr:row>
      <xdr:rowOff>95250</xdr:rowOff>
    </xdr:from>
    <xdr:to>
      <xdr:col>3</xdr:col>
      <xdr:colOff>485773</xdr:colOff>
      <xdr:row>4</xdr:row>
      <xdr:rowOff>11205</xdr:rowOff>
    </xdr:to>
    <xdr:sp macro="" textlink="">
      <xdr:nvSpPr>
        <xdr:cNvPr id="2" name="Text Box 296">
          <a:extLst>
            <a:ext uri="{FF2B5EF4-FFF2-40B4-BE49-F238E27FC236}">
              <a16:creationId xmlns:a16="http://schemas.microsoft.com/office/drawing/2014/main" id="{4A3D4185-9D9F-410B-B5C9-B9FEEC74AE54}"/>
            </a:ext>
          </a:extLst>
        </xdr:cNvPr>
        <xdr:cNvSpPr txBox="1">
          <a:spLocks noChangeArrowheads="1"/>
        </xdr:cNvSpPr>
      </xdr:nvSpPr>
      <xdr:spPr bwMode="auto">
        <a:xfrm>
          <a:off x="190499" y="95250"/>
          <a:ext cx="2124074" cy="71605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Компания "НоркПалм"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Тел/факс: (495) 921-3999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e-mail: info@norkpalm.ru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90"/>
              </a:solidFill>
              <a:latin typeface="Arial"/>
              <a:cs typeface="Arial"/>
            </a:rPr>
            <a:t>www.norkpalm.ru</a:t>
          </a:r>
          <a:endParaRPr lang="ru-RU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ru-RU" sz="16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590549</xdr:colOff>
      <xdr:row>0</xdr:row>
      <xdr:rowOff>152400</xdr:rowOff>
    </xdr:from>
    <xdr:to>
      <xdr:col>11</xdr:col>
      <xdr:colOff>428624</xdr:colOff>
      <xdr:row>4</xdr:row>
      <xdr:rowOff>47626</xdr:rowOff>
    </xdr:to>
    <xdr:pic>
      <xdr:nvPicPr>
        <xdr:cNvPr id="3" name="Picture 800">
          <a:extLst>
            <a:ext uri="{FF2B5EF4-FFF2-40B4-BE49-F238E27FC236}">
              <a16:creationId xmlns:a16="http://schemas.microsoft.com/office/drawing/2014/main" id="{B7CB5CA7-8D87-4983-A25E-75092E177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152400"/>
          <a:ext cx="4714875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151559</xdr:colOff>
          <xdr:row>44</xdr:row>
          <xdr:rowOff>165290</xdr:rowOff>
        </xdr:from>
        <xdr:to>
          <xdr:col>3</xdr:col>
          <xdr:colOff>571379</xdr:colOff>
          <xdr:row>53</xdr:row>
          <xdr:rowOff>29108</xdr:rowOff>
        </xdr:to>
        <xdr:pic>
          <xdr:nvPicPr>
            <xdr:cNvPr id="4" name="Рисунок 3">
              <a:extLst>
                <a:ext uri="{FF2B5EF4-FFF2-40B4-BE49-F238E27FC236}">
                  <a16:creationId xmlns:a16="http://schemas.microsoft.com/office/drawing/2014/main" id="{0A23137D-63F0-405A-AE35-18F04AB6CFB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фрезеровка3" spid="_x0000_s976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151559" y="9634261"/>
              <a:ext cx="2235173" cy="173520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119061</xdr:colOff>
          <xdr:row>9</xdr:row>
          <xdr:rowOff>19614</xdr:rowOff>
        </xdr:from>
        <xdr:to>
          <xdr:col>5</xdr:col>
          <xdr:colOff>189473</xdr:colOff>
          <xdr:row>20</xdr:row>
          <xdr:rowOff>172385</xdr:rowOff>
        </xdr:to>
        <xdr:pic>
          <xdr:nvPicPr>
            <xdr:cNvPr id="5" name="Рисунок 4">
              <a:extLst>
                <a:ext uri="{FF2B5EF4-FFF2-40B4-BE49-F238E27FC236}">
                  <a16:creationId xmlns:a16="http://schemas.microsoft.com/office/drawing/2014/main" id="{5B1EF413-2334-49AE-ABC7-08021DFBA3C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лист_заказа3" spid="_x0000_s977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119061" y="1935820"/>
              <a:ext cx="3096000" cy="249480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0</xdr:row>
      <xdr:rowOff>95250</xdr:rowOff>
    </xdr:from>
    <xdr:to>
      <xdr:col>3</xdr:col>
      <xdr:colOff>485773</xdr:colOff>
      <xdr:row>4</xdr:row>
      <xdr:rowOff>11205</xdr:rowOff>
    </xdr:to>
    <xdr:sp macro="" textlink="">
      <xdr:nvSpPr>
        <xdr:cNvPr id="2" name="Text Box 296">
          <a:extLst>
            <a:ext uri="{FF2B5EF4-FFF2-40B4-BE49-F238E27FC236}">
              <a16:creationId xmlns:a16="http://schemas.microsoft.com/office/drawing/2014/main" id="{5DE6B3C2-2016-4BB2-9A30-6E1D2CDB5F34}"/>
            </a:ext>
          </a:extLst>
        </xdr:cNvPr>
        <xdr:cNvSpPr txBox="1">
          <a:spLocks noChangeArrowheads="1"/>
        </xdr:cNvSpPr>
      </xdr:nvSpPr>
      <xdr:spPr bwMode="auto">
        <a:xfrm>
          <a:off x="190499" y="95250"/>
          <a:ext cx="2124074" cy="71605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Компания "НоркПалм"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Тел/факс: (495) 921-3999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e-mail: info@norkpalm.ru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90"/>
              </a:solidFill>
              <a:latin typeface="Arial"/>
              <a:cs typeface="Arial"/>
            </a:rPr>
            <a:t>www.norkpalm.ru</a:t>
          </a:r>
          <a:endParaRPr lang="ru-RU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ru-RU" sz="16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590549</xdr:colOff>
      <xdr:row>0</xdr:row>
      <xdr:rowOff>152400</xdr:rowOff>
    </xdr:from>
    <xdr:to>
      <xdr:col>11</xdr:col>
      <xdr:colOff>428624</xdr:colOff>
      <xdr:row>4</xdr:row>
      <xdr:rowOff>47626</xdr:rowOff>
    </xdr:to>
    <xdr:pic>
      <xdr:nvPicPr>
        <xdr:cNvPr id="3" name="Picture 800">
          <a:extLst>
            <a:ext uri="{FF2B5EF4-FFF2-40B4-BE49-F238E27FC236}">
              <a16:creationId xmlns:a16="http://schemas.microsoft.com/office/drawing/2014/main" id="{CBD82AE7-F19E-4C54-9856-5E66EC5EF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152400"/>
          <a:ext cx="4714875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151559</xdr:colOff>
          <xdr:row>44</xdr:row>
          <xdr:rowOff>165290</xdr:rowOff>
        </xdr:from>
        <xdr:to>
          <xdr:col>3</xdr:col>
          <xdr:colOff>571379</xdr:colOff>
          <xdr:row>53</xdr:row>
          <xdr:rowOff>29108</xdr:rowOff>
        </xdr:to>
        <xdr:pic>
          <xdr:nvPicPr>
            <xdr:cNvPr id="4" name="Рисунок 3">
              <a:extLst>
                <a:ext uri="{FF2B5EF4-FFF2-40B4-BE49-F238E27FC236}">
                  <a16:creationId xmlns:a16="http://schemas.microsoft.com/office/drawing/2014/main" id="{BAE30ED8-EB42-44BF-9C83-F95727C688D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фрезеровка4" spid="_x0000_s1180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151559" y="9634261"/>
              <a:ext cx="2235173" cy="173520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119061</xdr:colOff>
          <xdr:row>9</xdr:row>
          <xdr:rowOff>19614</xdr:rowOff>
        </xdr:from>
        <xdr:to>
          <xdr:col>5</xdr:col>
          <xdr:colOff>189473</xdr:colOff>
          <xdr:row>20</xdr:row>
          <xdr:rowOff>172385</xdr:rowOff>
        </xdr:to>
        <xdr:pic>
          <xdr:nvPicPr>
            <xdr:cNvPr id="5" name="Рисунок 4">
              <a:extLst>
                <a:ext uri="{FF2B5EF4-FFF2-40B4-BE49-F238E27FC236}">
                  <a16:creationId xmlns:a16="http://schemas.microsoft.com/office/drawing/2014/main" id="{B1BE0FBF-E8C6-43CE-BE23-1FED435176B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лист_заказа4" spid="_x0000_s1180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119061" y="1935820"/>
              <a:ext cx="3096000" cy="249480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0</xdr:row>
      <xdr:rowOff>95250</xdr:rowOff>
    </xdr:from>
    <xdr:to>
      <xdr:col>3</xdr:col>
      <xdr:colOff>485773</xdr:colOff>
      <xdr:row>4</xdr:row>
      <xdr:rowOff>11205</xdr:rowOff>
    </xdr:to>
    <xdr:sp macro="" textlink="">
      <xdr:nvSpPr>
        <xdr:cNvPr id="2" name="Text Box 296">
          <a:extLst>
            <a:ext uri="{FF2B5EF4-FFF2-40B4-BE49-F238E27FC236}">
              <a16:creationId xmlns:a16="http://schemas.microsoft.com/office/drawing/2014/main" id="{A4299B9D-533E-4E24-9D94-89238380CBC8}"/>
            </a:ext>
          </a:extLst>
        </xdr:cNvPr>
        <xdr:cNvSpPr txBox="1">
          <a:spLocks noChangeArrowheads="1"/>
        </xdr:cNvSpPr>
      </xdr:nvSpPr>
      <xdr:spPr bwMode="auto">
        <a:xfrm>
          <a:off x="190499" y="95250"/>
          <a:ext cx="2124074" cy="71605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ООО Компания "НоркПалм"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Тел/факс: (495) 921-3999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e-mail: info@norkpalm.ru</a:t>
          </a:r>
          <a:endParaRPr lang="ru-R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1" i="0" u="none" strike="noStrike" baseline="0">
              <a:solidFill>
                <a:srgbClr val="000090"/>
              </a:solidFill>
              <a:latin typeface="Arial"/>
              <a:cs typeface="Arial"/>
            </a:rPr>
            <a:t>www.norkpalm.ru</a:t>
          </a:r>
          <a:endParaRPr lang="ru-RU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ru-RU" sz="16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590549</xdr:colOff>
      <xdr:row>0</xdr:row>
      <xdr:rowOff>152400</xdr:rowOff>
    </xdr:from>
    <xdr:to>
      <xdr:col>11</xdr:col>
      <xdr:colOff>428624</xdr:colOff>
      <xdr:row>4</xdr:row>
      <xdr:rowOff>47626</xdr:rowOff>
    </xdr:to>
    <xdr:pic>
      <xdr:nvPicPr>
        <xdr:cNvPr id="3" name="Picture 800">
          <a:extLst>
            <a:ext uri="{FF2B5EF4-FFF2-40B4-BE49-F238E27FC236}">
              <a16:creationId xmlns:a16="http://schemas.microsoft.com/office/drawing/2014/main" id="{3BB383F1-EB6D-43B1-BA6E-293E6EFEC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49" y="152400"/>
          <a:ext cx="4714875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151559</xdr:colOff>
          <xdr:row>44</xdr:row>
          <xdr:rowOff>165290</xdr:rowOff>
        </xdr:from>
        <xdr:to>
          <xdr:col>3</xdr:col>
          <xdr:colOff>571379</xdr:colOff>
          <xdr:row>53</xdr:row>
          <xdr:rowOff>29108</xdr:rowOff>
        </xdr:to>
        <xdr:pic>
          <xdr:nvPicPr>
            <xdr:cNvPr id="4" name="Рисунок 3">
              <a:extLst>
                <a:ext uri="{FF2B5EF4-FFF2-40B4-BE49-F238E27FC236}">
                  <a16:creationId xmlns:a16="http://schemas.microsoft.com/office/drawing/2014/main" id="{94FD64CA-2AD8-4E69-98B0-2840837404E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фрезеровка5" spid="_x0000_s1281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151559" y="9634261"/>
              <a:ext cx="2235173" cy="173520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119061</xdr:colOff>
          <xdr:row>9</xdr:row>
          <xdr:rowOff>19614</xdr:rowOff>
        </xdr:from>
        <xdr:to>
          <xdr:col>5</xdr:col>
          <xdr:colOff>189473</xdr:colOff>
          <xdr:row>20</xdr:row>
          <xdr:rowOff>172385</xdr:rowOff>
        </xdr:to>
        <xdr:pic>
          <xdr:nvPicPr>
            <xdr:cNvPr id="5" name="Рисунок 4">
              <a:extLst>
                <a:ext uri="{FF2B5EF4-FFF2-40B4-BE49-F238E27FC236}">
                  <a16:creationId xmlns:a16="http://schemas.microsoft.com/office/drawing/2014/main" id="{B8A09C9C-65FD-4D36-88A4-0BE74BA6AEB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Чертеж_лист_заказа5" spid="_x0000_s1281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119061" y="1935820"/>
              <a:ext cx="3096000" cy="2494800"/>
            </a:xfrm>
            <a:prstGeom prst="rect">
              <a:avLst/>
            </a:prstGeom>
            <a:ln w="12700">
              <a:solidFill>
                <a:schemeClr val="tx1"/>
              </a:solidFill>
            </a:ln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40821</xdr:colOff>
      <xdr:row>2</xdr:row>
      <xdr:rowOff>0</xdr:rowOff>
    </xdr:from>
    <xdr:to>
      <xdr:col>3</xdr:col>
      <xdr:colOff>6516585</xdr:colOff>
      <xdr:row>2</xdr:row>
      <xdr:rowOff>5004000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35149DF-5782-4412-B8D2-796D9C65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446" y="5354410"/>
          <a:ext cx="6475764" cy="500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2</xdr:row>
      <xdr:rowOff>68035</xdr:rowOff>
    </xdr:from>
    <xdr:to>
      <xdr:col>3</xdr:col>
      <xdr:colOff>6516585</xdr:colOff>
      <xdr:row>2</xdr:row>
      <xdr:rowOff>5072035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47598B0-E925-4044-9746-9FE306E02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446" y="10545535"/>
          <a:ext cx="6475764" cy="500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3</xdr:row>
      <xdr:rowOff>0</xdr:rowOff>
    </xdr:from>
    <xdr:to>
      <xdr:col>3</xdr:col>
      <xdr:colOff>6516585</xdr:colOff>
      <xdr:row>3</xdr:row>
      <xdr:rowOff>5004000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E3EC99A-917D-4FF1-9E2F-FA6C11B25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446" y="15736660"/>
          <a:ext cx="6475764" cy="500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1</xdr:row>
      <xdr:rowOff>68035</xdr:rowOff>
    </xdr:from>
    <xdr:to>
      <xdr:col>3</xdr:col>
      <xdr:colOff>6516585</xdr:colOff>
      <xdr:row>1</xdr:row>
      <xdr:rowOff>5072035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50476BD6-2D9A-44E3-AD38-88859308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446" y="258535"/>
          <a:ext cx="6475764" cy="5004000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5</xdr:row>
      <xdr:rowOff>91847</xdr:rowOff>
    </xdr:from>
    <xdr:to>
      <xdr:col>3</xdr:col>
      <xdr:colOff>6516585</xdr:colOff>
      <xdr:row>5</xdr:row>
      <xdr:rowOff>5095846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8351650D-327F-4A75-9896-5CCFDBEBC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446" y="26142722"/>
          <a:ext cx="6475764" cy="5003999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6</xdr:row>
      <xdr:rowOff>40821</xdr:rowOff>
    </xdr:from>
    <xdr:to>
      <xdr:col>3</xdr:col>
      <xdr:colOff>6516585</xdr:colOff>
      <xdr:row>6</xdr:row>
      <xdr:rowOff>5044820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19556A7-5B12-4F1F-81DF-EEF230FC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446" y="31282821"/>
          <a:ext cx="6475764" cy="5003999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</xdr:colOff>
      <xdr:row>7</xdr:row>
      <xdr:rowOff>0</xdr:rowOff>
    </xdr:from>
    <xdr:to>
      <xdr:col>3</xdr:col>
      <xdr:colOff>6516585</xdr:colOff>
      <xdr:row>7</xdr:row>
      <xdr:rowOff>5003999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DDAB394-A3AD-471E-BB7A-57E9C96AD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446" y="36521570"/>
          <a:ext cx="6475764" cy="500399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7</xdr:row>
      <xdr:rowOff>86590</xdr:rowOff>
    </xdr:from>
    <xdr:to>
      <xdr:col>3</xdr:col>
      <xdr:colOff>6527717</xdr:colOff>
      <xdr:row>7</xdr:row>
      <xdr:rowOff>5090589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9C82F0D2-5532-4F90-B8EB-C79C85328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2909" y="31363226"/>
          <a:ext cx="6475763" cy="500399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3</xdr:row>
      <xdr:rowOff>86590</xdr:rowOff>
    </xdr:from>
    <xdr:to>
      <xdr:col>3</xdr:col>
      <xdr:colOff>6527717</xdr:colOff>
      <xdr:row>3</xdr:row>
      <xdr:rowOff>5090589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4C1C405-AC8A-492F-A06B-C357785CE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8579" y="20946340"/>
          <a:ext cx="6475763" cy="500399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</xdr:colOff>
      <xdr:row>8</xdr:row>
      <xdr:rowOff>86590</xdr:rowOff>
    </xdr:from>
    <xdr:to>
      <xdr:col>3</xdr:col>
      <xdr:colOff>6527716</xdr:colOff>
      <xdr:row>8</xdr:row>
      <xdr:rowOff>5090588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1A487935-1924-4ED4-9334-7A122F38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2909" y="52145045"/>
          <a:ext cx="6475762" cy="5003998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1</xdr:row>
      <xdr:rowOff>51954</xdr:rowOff>
    </xdr:from>
    <xdr:to>
      <xdr:col>7</xdr:col>
      <xdr:colOff>6527718</xdr:colOff>
      <xdr:row>1</xdr:row>
      <xdr:rowOff>5055954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13C0579-6E0D-4458-871C-552D32B92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43954" y="242454"/>
          <a:ext cx="6475764" cy="5004000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3</xdr:row>
      <xdr:rowOff>86590</xdr:rowOff>
    </xdr:from>
    <xdr:to>
      <xdr:col>7</xdr:col>
      <xdr:colOff>6527716</xdr:colOff>
      <xdr:row>3</xdr:row>
      <xdr:rowOff>5090588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FD729B6B-6E79-42C1-A411-393CBDBD7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67767" y="20946340"/>
          <a:ext cx="6475762" cy="5003998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2</xdr:row>
      <xdr:rowOff>0</xdr:rowOff>
    </xdr:from>
    <xdr:to>
      <xdr:col>7</xdr:col>
      <xdr:colOff>6527718</xdr:colOff>
      <xdr:row>2</xdr:row>
      <xdr:rowOff>5004000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95FD27F-2813-4694-9905-8898EDC7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43954" y="5385954"/>
          <a:ext cx="6475764" cy="5004000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2</xdr:row>
      <xdr:rowOff>86590</xdr:rowOff>
    </xdr:from>
    <xdr:to>
      <xdr:col>7</xdr:col>
      <xdr:colOff>6527718</xdr:colOff>
      <xdr:row>2</xdr:row>
      <xdr:rowOff>5090590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B6EA579A-A0AF-4AC4-8C0D-1ED88E965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43954" y="10581408"/>
          <a:ext cx="6475764" cy="5004000"/>
        </a:xfrm>
        <a:prstGeom prst="rect">
          <a:avLst/>
        </a:prstGeom>
      </xdr:spPr>
    </xdr:pic>
    <xdr:clientData/>
  </xdr:twoCellAnchor>
  <xdr:twoCellAnchor editAs="oneCell">
    <xdr:from>
      <xdr:col>7</xdr:col>
      <xdr:colOff>51954</xdr:colOff>
      <xdr:row>3</xdr:row>
      <xdr:rowOff>0</xdr:rowOff>
    </xdr:from>
    <xdr:to>
      <xdr:col>7</xdr:col>
      <xdr:colOff>6527718</xdr:colOff>
      <xdr:row>3</xdr:row>
      <xdr:rowOff>5003999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82105CD4-81B1-4554-805C-7B0331803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43954" y="10494818"/>
          <a:ext cx="6475764" cy="5003999"/>
        </a:xfrm>
        <a:prstGeom prst="rect">
          <a:avLst/>
        </a:prstGeom>
      </xdr:spPr>
    </xdr:pic>
    <xdr:clientData/>
  </xdr:twoCellAnchor>
  <xdr:oneCellAnchor>
    <xdr:from>
      <xdr:col>3</xdr:col>
      <xdr:colOff>51954</xdr:colOff>
      <xdr:row>4</xdr:row>
      <xdr:rowOff>86590</xdr:rowOff>
    </xdr:from>
    <xdr:ext cx="6475763" cy="5003998"/>
    <xdr:pic>
      <xdr:nvPicPr>
        <xdr:cNvPr id="20" name="Рисунок 19">
          <a:extLst>
            <a:ext uri="{FF2B5EF4-FFF2-40B4-BE49-F238E27FC236}">
              <a16:creationId xmlns:a16="http://schemas.microsoft.com/office/drawing/2014/main" id="{055B00B4-CBC4-486F-AF7B-58299B1F2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8579" y="26137465"/>
          <a:ext cx="6475763" cy="5003998"/>
        </a:xfrm>
        <a:prstGeom prst="rect">
          <a:avLst/>
        </a:prstGeom>
      </xdr:spPr>
    </xdr:pic>
    <xdr:clientData/>
  </xdr:oneCellAnchor>
  <xdr:oneCellAnchor>
    <xdr:from>
      <xdr:col>7</xdr:col>
      <xdr:colOff>51954</xdr:colOff>
      <xdr:row>4</xdr:row>
      <xdr:rowOff>86590</xdr:rowOff>
    </xdr:from>
    <xdr:ext cx="6475762" cy="5003997"/>
    <xdr:pic>
      <xdr:nvPicPr>
        <xdr:cNvPr id="28" name="Рисунок 27">
          <a:extLst>
            <a:ext uri="{FF2B5EF4-FFF2-40B4-BE49-F238E27FC236}">
              <a16:creationId xmlns:a16="http://schemas.microsoft.com/office/drawing/2014/main" id="{2E974D63-9A7B-4948-8512-8A1E2E7A3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282054" y="26108890"/>
          <a:ext cx="6475762" cy="5003997"/>
        </a:xfrm>
        <a:prstGeom prst="rect">
          <a:avLst/>
        </a:prstGeom>
      </xdr:spPr>
    </xdr:pic>
    <xdr:clientData/>
  </xdr:oneCellAnchor>
  <xdr:oneCellAnchor>
    <xdr:from>
      <xdr:col>3</xdr:col>
      <xdr:colOff>51954</xdr:colOff>
      <xdr:row>8</xdr:row>
      <xdr:rowOff>86590</xdr:rowOff>
    </xdr:from>
    <xdr:ext cx="6475763" cy="5003998"/>
    <xdr:pic>
      <xdr:nvPicPr>
        <xdr:cNvPr id="29" name="Рисунок 28">
          <a:extLst>
            <a:ext uri="{FF2B5EF4-FFF2-40B4-BE49-F238E27FC236}">
              <a16:creationId xmlns:a16="http://schemas.microsoft.com/office/drawing/2014/main" id="{E7AA53F8-F801-4EAF-8E19-BAC4377ED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8579" y="52093090"/>
          <a:ext cx="6475763" cy="500399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74442-C37F-4638-8D53-CC37E3CD19ED}">
  <sheetPr codeName="Лист1">
    <pageSetUpPr fitToPage="1"/>
  </sheetPr>
  <dimension ref="A1:CI150"/>
  <sheetViews>
    <sheetView zoomScaleNormal="100" workbookViewId="0">
      <selection activeCell="E19" sqref="E19"/>
    </sheetView>
  </sheetViews>
  <sheetFormatPr defaultColWidth="9.1328125" defaultRowHeight="15.4" x14ac:dyDescent="0.45"/>
  <cols>
    <col min="1" max="1" width="4.265625" style="28" customWidth="1"/>
    <col min="2" max="3" width="14.265625" style="28" customWidth="1"/>
    <col min="4" max="4" width="11.1328125" style="28" bestFit="1" customWidth="1"/>
    <col min="5" max="5" width="12.86328125" style="28" customWidth="1"/>
    <col min="6" max="6" width="13" style="28" customWidth="1"/>
    <col min="7" max="7" width="10.1328125" style="28" customWidth="1"/>
    <col min="8" max="8" width="12.86328125" style="28" customWidth="1"/>
    <col min="9" max="10" width="5.73046875" style="28" customWidth="1"/>
    <col min="11" max="11" width="17.59765625" style="28" customWidth="1"/>
    <col min="12" max="13" width="12.1328125" style="35" customWidth="1"/>
    <col min="14" max="14" width="9.265625" style="35" customWidth="1"/>
    <col min="15" max="15" width="14.59765625" style="28" customWidth="1"/>
    <col min="16" max="20" width="9.1328125" style="92" customWidth="1"/>
    <col min="21" max="21" width="9.1328125" style="92"/>
    <col min="22" max="22" width="9" style="92" customWidth="1"/>
    <col min="23" max="26" width="9.1328125" style="92"/>
    <col min="27" max="27" width="9.1328125" style="92" customWidth="1"/>
    <col min="28" max="51" width="9.1328125" style="92"/>
    <col min="52" max="65" width="9.1328125" style="28"/>
    <col min="66" max="66" width="9.1328125" style="28" customWidth="1"/>
    <col min="67" max="16384" width="9.1328125" style="28"/>
  </cols>
  <sheetData>
    <row r="1" spans="1:87" x14ac:dyDescent="0.4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7"/>
      <c r="M1" s="27"/>
      <c r="N1" s="27"/>
      <c r="O1" s="26"/>
      <c r="P1" s="41"/>
      <c r="Q1" s="41"/>
      <c r="R1" s="41"/>
      <c r="S1" s="41"/>
      <c r="T1" s="41"/>
      <c r="U1" s="41"/>
      <c r="V1" s="41"/>
      <c r="W1" s="41"/>
      <c r="X1" s="41"/>
      <c r="Y1" s="42"/>
      <c r="Z1" s="42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2"/>
      <c r="AM1" s="42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2"/>
      <c r="AZ1" s="27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7"/>
      <c r="BM1" s="27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7"/>
      <c r="BZ1" s="27"/>
      <c r="CA1" s="26"/>
      <c r="CB1" s="26"/>
      <c r="CC1" s="26"/>
      <c r="CD1" s="26"/>
      <c r="CE1" s="26"/>
      <c r="CF1" s="26"/>
      <c r="CG1" s="26"/>
      <c r="CH1" s="26"/>
      <c r="CI1" s="26"/>
    </row>
    <row r="2" spans="1:87" x14ac:dyDescent="0.4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7"/>
      <c r="M2" s="27"/>
      <c r="N2" s="27"/>
      <c r="O2" s="26"/>
      <c r="P2" s="41"/>
      <c r="Q2" s="41"/>
      <c r="R2" s="41"/>
      <c r="S2" s="41"/>
      <c r="T2" s="41"/>
      <c r="U2" s="41"/>
      <c r="V2" s="41"/>
      <c r="W2" s="41"/>
      <c r="X2" s="41"/>
      <c r="Y2" s="42"/>
      <c r="Z2" s="42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2"/>
      <c r="AM2" s="42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2"/>
      <c r="AZ2" s="27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7"/>
      <c r="BM2" s="27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7"/>
      <c r="BZ2" s="27"/>
      <c r="CA2" s="26"/>
      <c r="CB2" s="26"/>
      <c r="CC2" s="26"/>
      <c r="CD2" s="26"/>
      <c r="CE2" s="26"/>
      <c r="CF2" s="26"/>
      <c r="CG2" s="26"/>
      <c r="CH2" s="26"/>
      <c r="CI2" s="26"/>
    </row>
    <row r="3" spans="1:87" x14ac:dyDescent="0.4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7"/>
      <c r="M3" s="27"/>
      <c r="N3" s="27"/>
      <c r="O3" s="26"/>
      <c r="P3" s="41"/>
      <c r="Q3" s="41"/>
      <c r="R3" s="41"/>
      <c r="S3" s="41"/>
      <c r="T3" s="41"/>
      <c r="U3" s="41"/>
      <c r="V3" s="41"/>
      <c r="W3" s="41"/>
      <c r="X3" s="41"/>
      <c r="Y3" s="42"/>
      <c r="Z3" s="42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2"/>
      <c r="AM3" s="42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2"/>
      <c r="AZ3" s="27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7"/>
      <c r="BM3" s="27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7"/>
      <c r="BZ3" s="27"/>
      <c r="CA3" s="26"/>
      <c r="CB3" s="26"/>
      <c r="CC3" s="26"/>
      <c r="CD3" s="26"/>
      <c r="CE3" s="26"/>
      <c r="CF3" s="26"/>
      <c r="CG3" s="26"/>
      <c r="CH3" s="26"/>
      <c r="CI3" s="26"/>
    </row>
    <row r="4" spans="1:87" x14ac:dyDescent="0.45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7"/>
      <c r="M4" s="27"/>
      <c r="N4" s="27"/>
      <c r="O4" s="26"/>
      <c r="P4" s="41"/>
      <c r="Q4" s="41"/>
      <c r="R4" s="41"/>
      <c r="S4" s="41"/>
      <c r="T4" s="41"/>
      <c r="U4" s="41"/>
      <c r="V4" s="41"/>
      <c r="W4" s="41"/>
      <c r="X4" s="41"/>
      <c r="Y4" s="42"/>
      <c r="Z4" s="42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2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2"/>
      <c r="AZ4" s="27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7"/>
      <c r="BM4" s="27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7"/>
      <c r="BZ4" s="27"/>
      <c r="CA4" s="26"/>
      <c r="CB4" s="26"/>
      <c r="CC4" s="26"/>
      <c r="CD4" s="26"/>
      <c r="CE4" s="26"/>
      <c r="CF4" s="26"/>
      <c r="CG4" s="26"/>
      <c r="CH4" s="26"/>
      <c r="CI4" s="26"/>
    </row>
    <row r="5" spans="1:87" x14ac:dyDescent="0.45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7"/>
      <c r="M5" s="27"/>
      <c r="N5" s="27"/>
      <c r="O5" s="26"/>
      <c r="P5" s="41"/>
      <c r="Q5" s="41"/>
      <c r="R5" s="41"/>
      <c r="S5" s="41"/>
      <c r="T5" s="41"/>
      <c r="U5" s="41"/>
      <c r="V5" s="41"/>
      <c r="W5" s="41"/>
      <c r="X5" s="41"/>
      <c r="Y5" s="42"/>
      <c r="Z5" s="42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2"/>
      <c r="AM5" s="42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2"/>
      <c r="AZ5" s="27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7"/>
      <c r="BM5" s="27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7"/>
      <c r="BZ5" s="27"/>
      <c r="CA5" s="26"/>
      <c r="CB5" s="26"/>
      <c r="CC5" s="26"/>
      <c r="CD5" s="26"/>
      <c r="CE5" s="26"/>
      <c r="CF5" s="26"/>
      <c r="CG5" s="26"/>
      <c r="CH5" s="26"/>
      <c r="CI5" s="26"/>
    </row>
    <row r="6" spans="1:87" ht="19.899999999999999" x14ac:dyDescent="0.5">
      <c r="A6" s="26"/>
      <c r="B6" s="123" t="s">
        <v>40</v>
      </c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26"/>
      <c r="P6" s="41"/>
      <c r="Q6" s="41"/>
      <c r="R6" s="41"/>
      <c r="S6" s="41"/>
      <c r="T6" s="41"/>
      <c r="U6" s="41"/>
      <c r="V6" s="41"/>
      <c r="W6" s="41"/>
      <c r="X6" s="41"/>
      <c r="Y6" s="42"/>
      <c r="Z6" s="42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2"/>
      <c r="AM6" s="42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2"/>
      <c r="AZ6" s="27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7"/>
      <c r="BM6" s="27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7"/>
      <c r="BZ6" s="27"/>
      <c r="CA6" s="26"/>
      <c r="CB6" s="26"/>
      <c r="CC6" s="26"/>
      <c r="CD6" s="26"/>
      <c r="CE6" s="26"/>
      <c r="CF6" s="26"/>
      <c r="CG6" s="26"/>
      <c r="CH6" s="26"/>
      <c r="CI6" s="26"/>
    </row>
    <row r="7" spans="1:87" ht="19.899999999999999" x14ac:dyDescent="0.5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7"/>
      <c r="M7" s="27"/>
      <c r="N7" s="27"/>
      <c r="O7" s="26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41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41"/>
      <c r="AO7" s="41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49"/>
      <c r="BA7" s="26"/>
      <c r="BB7" s="26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26"/>
      <c r="BO7" s="26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26"/>
      <c r="CB7" s="26"/>
      <c r="CC7" s="26"/>
      <c r="CD7" s="26"/>
      <c r="CE7" s="26"/>
      <c r="CF7" s="26"/>
      <c r="CG7" s="26"/>
      <c r="CH7" s="26"/>
      <c r="CI7" s="26"/>
    </row>
    <row r="8" spans="1:87" ht="17.649999999999999" x14ac:dyDescent="0.5">
      <c r="A8" s="124" t="s">
        <v>41</v>
      </c>
      <c r="B8" s="125"/>
      <c r="C8" s="126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/>
      <c r="O8" s="130"/>
      <c r="P8" s="103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2"/>
      <c r="AM8" s="42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2"/>
      <c r="AZ8" s="27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7"/>
      <c r="BM8" s="27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7"/>
      <c r="BZ8" s="27"/>
      <c r="CA8" s="26"/>
      <c r="CB8" s="26"/>
      <c r="CC8" s="26"/>
      <c r="CD8" s="26"/>
      <c r="CE8" s="26"/>
      <c r="CF8" s="26"/>
      <c r="CG8" s="26"/>
      <c r="CH8" s="26"/>
      <c r="CI8" s="26"/>
    </row>
    <row r="9" spans="1:87" ht="15.75" customHeight="1" x14ac:dyDescent="0.45">
      <c r="A9" s="124" t="s">
        <v>42</v>
      </c>
      <c r="B9" s="125"/>
      <c r="C9" s="126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41"/>
      <c r="Q9" s="41"/>
      <c r="R9" s="41"/>
      <c r="S9" s="41"/>
      <c r="T9" s="41"/>
      <c r="U9" s="41"/>
      <c r="V9" s="41"/>
      <c r="W9" s="41"/>
      <c r="X9" s="41"/>
      <c r="Y9" s="42"/>
      <c r="Z9" s="42"/>
      <c r="AA9" s="41"/>
      <c r="AB9" s="41"/>
      <c r="AC9" s="41"/>
      <c r="AD9" s="41"/>
      <c r="AE9" s="41"/>
      <c r="AF9" s="41"/>
      <c r="AG9" s="41"/>
      <c r="AH9" s="41"/>
      <c r="AI9" s="44"/>
      <c r="AJ9" s="44"/>
      <c r="AK9" s="44"/>
      <c r="AL9" s="47"/>
      <c r="AM9" s="47"/>
      <c r="AN9" s="47"/>
      <c r="AO9" s="41"/>
      <c r="AP9" s="41"/>
      <c r="AQ9" s="41"/>
      <c r="AR9" s="41"/>
      <c r="AS9" s="41"/>
      <c r="AT9" s="41"/>
      <c r="AU9" s="41"/>
      <c r="AV9" s="44"/>
      <c r="AW9" s="44"/>
      <c r="AX9" s="44"/>
      <c r="AY9" s="47"/>
      <c r="AZ9" s="47"/>
      <c r="BA9" s="47"/>
      <c r="BB9" s="26"/>
      <c r="BC9" s="26"/>
      <c r="BD9" s="26"/>
      <c r="BE9" s="26"/>
      <c r="BF9" s="26"/>
      <c r="BG9" s="26"/>
      <c r="BH9" s="26"/>
      <c r="BI9" s="48"/>
      <c r="BJ9" s="48"/>
      <c r="BK9" s="48"/>
      <c r="BL9" s="47"/>
      <c r="BM9" s="47"/>
      <c r="BN9" s="47"/>
      <c r="BO9" s="26"/>
      <c r="BP9" s="26"/>
      <c r="BQ9" s="26"/>
      <c r="BR9" s="26"/>
      <c r="BS9" s="26"/>
      <c r="BT9" s="26"/>
      <c r="BU9" s="26"/>
      <c r="BV9" s="48"/>
      <c r="BW9" s="48"/>
      <c r="BX9" s="48"/>
      <c r="BY9" s="47"/>
      <c r="BZ9" s="47"/>
      <c r="CA9" s="47"/>
      <c r="CB9" s="26"/>
      <c r="CC9" s="26"/>
      <c r="CD9" s="26"/>
      <c r="CE9" s="26"/>
      <c r="CF9" s="26"/>
      <c r="CG9" s="26"/>
      <c r="CH9" s="26"/>
      <c r="CI9" s="26"/>
    </row>
    <row r="10" spans="1:87" x14ac:dyDescent="0.45">
      <c r="A10" s="124" t="s">
        <v>43</v>
      </c>
      <c r="B10" s="125"/>
      <c r="C10" s="126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41"/>
      <c r="Q10" s="41" t="s">
        <v>70</v>
      </c>
      <c r="R10" s="41"/>
      <c r="S10" s="41"/>
      <c r="T10" s="41"/>
      <c r="U10" s="41"/>
      <c r="V10" s="44"/>
      <c r="W10" s="44"/>
      <c r="X10" s="44"/>
      <c r="Y10" s="47"/>
      <c r="Z10" s="47"/>
      <c r="AA10" s="47"/>
      <c r="AB10" s="41"/>
      <c r="AC10" s="41"/>
      <c r="AD10" s="41"/>
      <c r="AE10" s="41"/>
      <c r="AF10" s="41"/>
      <c r="AG10" s="41"/>
      <c r="AH10" s="41"/>
      <c r="AI10" s="44"/>
      <c r="AJ10" s="44"/>
      <c r="AK10" s="44"/>
      <c r="AL10" s="47"/>
      <c r="AM10" s="47"/>
      <c r="AN10" s="47"/>
      <c r="AO10" s="41"/>
      <c r="AP10" s="41"/>
      <c r="AQ10" s="41"/>
      <c r="AR10" s="41"/>
      <c r="AS10" s="41"/>
      <c r="AT10" s="41"/>
      <c r="AU10" s="41"/>
      <c r="AV10" s="44"/>
      <c r="AW10" s="44"/>
      <c r="AX10" s="44"/>
      <c r="AY10" s="47"/>
      <c r="AZ10" s="47"/>
      <c r="BA10" s="47"/>
      <c r="BB10" s="26"/>
      <c r="BC10" s="26"/>
      <c r="BD10" s="26"/>
      <c r="BE10" s="26"/>
      <c r="BF10" s="26"/>
      <c r="BG10" s="26"/>
      <c r="BH10" s="26"/>
      <c r="BI10" s="48"/>
      <c r="BJ10" s="48"/>
      <c r="BK10" s="48"/>
      <c r="BL10" s="47"/>
      <c r="BM10" s="47"/>
      <c r="BN10" s="47"/>
      <c r="BO10" s="26"/>
      <c r="BP10" s="26"/>
      <c r="BQ10" s="26"/>
      <c r="BR10" s="26"/>
      <c r="BS10" s="26"/>
      <c r="BT10" s="26"/>
      <c r="BU10" s="26"/>
      <c r="BV10" s="48"/>
      <c r="BW10" s="48"/>
      <c r="BX10" s="48"/>
      <c r="BY10" s="47"/>
      <c r="BZ10" s="47"/>
      <c r="CA10" s="47"/>
      <c r="CB10" s="26"/>
      <c r="CC10" s="26"/>
      <c r="CD10" s="26"/>
      <c r="CE10" s="26"/>
      <c r="CF10" s="26"/>
      <c r="CG10" s="26"/>
      <c r="CH10" s="26"/>
      <c r="CI10" s="26"/>
    </row>
    <row r="11" spans="1:87" x14ac:dyDescent="0.45">
      <c r="A11" s="124" t="s">
        <v>44</v>
      </c>
      <c r="B11" s="125"/>
      <c r="C11" s="126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41"/>
      <c r="Q11" s="41"/>
      <c r="R11" s="41"/>
      <c r="S11" s="41"/>
      <c r="T11" s="41"/>
      <c r="U11" s="41"/>
      <c r="V11" s="44"/>
      <c r="W11" s="44"/>
      <c r="X11" s="44"/>
      <c r="Y11" s="47"/>
      <c r="Z11" s="47"/>
      <c r="AA11" s="47"/>
      <c r="AB11" s="41"/>
      <c r="AC11" s="41"/>
      <c r="AD11" s="41"/>
      <c r="AE11" s="41"/>
      <c r="AF11" s="41"/>
      <c r="AG11" s="41"/>
      <c r="AH11" s="41"/>
      <c r="AI11" s="44"/>
      <c r="AJ11" s="44"/>
      <c r="AK11" s="44"/>
      <c r="AL11" s="47"/>
      <c r="AM11" s="47"/>
      <c r="AN11" s="47"/>
      <c r="AO11" s="41"/>
      <c r="AP11" s="41"/>
      <c r="AQ11" s="41"/>
      <c r="AR11" s="41"/>
      <c r="AS11" s="41"/>
      <c r="AT11" s="41"/>
      <c r="AU11" s="41"/>
      <c r="AV11" s="44"/>
      <c r="AW11" s="44"/>
      <c r="AX11" s="44"/>
      <c r="AY11" s="47"/>
      <c r="AZ11" s="47"/>
      <c r="BA11" s="47"/>
      <c r="BB11" s="26"/>
      <c r="BC11" s="26"/>
      <c r="BD11" s="26"/>
      <c r="BE11" s="26"/>
      <c r="BF11" s="26"/>
      <c r="BG11" s="26"/>
      <c r="BH11" s="26"/>
      <c r="BI11" s="48"/>
      <c r="BJ11" s="48"/>
      <c r="BK11" s="48"/>
      <c r="BL11" s="47"/>
      <c r="BM11" s="47"/>
      <c r="BN11" s="47"/>
      <c r="BO11" s="26"/>
      <c r="BP11" s="26"/>
      <c r="BQ11" s="26"/>
      <c r="BR11" s="26"/>
      <c r="BS11" s="26"/>
      <c r="BT11" s="26"/>
      <c r="BU11" s="26"/>
      <c r="BV11" s="48"/>
      <c r="BW11" s="48"/>
      <c r="BX11" s="48"/>
      <c r="BY11" s="47"/>
      <c r="BZ11" s="47"/>
      <c r="CA11" s="47"/>
      <c r="CB11" s="26"/>
      <c r="CC11" s="26"/>
      <c r="CD11" s="26"/>
      <c r="CE11" s="26"/>
      <c r="CF11" s="26"/>
      <c r="CG11" s="26"/>
      <c r="CH11" s="26"/>
      <c r="CI11" s="26"/>
    </row>
    <row r="12" spans="1:87" x14ac:dyDescent="0.45">
      <c r="A12" s="127" t="s">
        <v>10</v>
      </c>
      <c r="B12" s="128"/>
      <c r="C12" s="129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Q12" s="41"/>
      <c r="R12" s="41"/>
      <c r="S12" s="41"/>
      <c r="T12" s="41"/>
      <c r="U12" s="41"/>
      <c r="V12" s="44"/>
      <c r="W12" s="44"/>
      <c r="X12" s="44"/>
      <c r="Y12" s="47"/>
      <c r="Z12" s="47"/>
      <c r="AA12" s="47"/>
      <c r="AB12" s="41"/>
      <c r="AC12" s="41"/>
      <c r="AD12" s="41"/>
      <c r="AE12" s="41"/>
      <c r="AF12" s="41"/>
      <c r="AG12" s="41"/>
      <c r="AH12" s="41"/>
      <c r="AI12" s="44"/>
      <c r="AJ12" s="44"/>
      <c r="AK12" s="44"/>
      <c r="AL12" s="47"/>
      <c r="AM12" s="47"/>
      <c r="AN12" s="47"/>
      <c r="AO12" s="41"/>
      <c r="AP12" s="41"/>
      <c r="AQ12" s="41"/>
      <c r="AR12" s="41"/>
      <c r="AS12" s="41"/>
      <c r="AT12" s="41"/>
      <c r="AU12" s="41"/>
      <c r="AV12" s="44"/>
      <c r="AW12" s="44"/>
      <c r="AX12" s="44"/>
      <c r="AY12" s="47"/>
      <c r="AZ12" s="47"/>
      <c r="BA12" s="47"/>
      <c r="BB12" s="26"/>
      <c r="BC12" s="26"/>
      <c r="BD12" s="26"/>
      <c r="BE12" s="26"/>
      <c r="BF12" s="26"/>
      <c r="BG12" s="26"/>
      <c r="BH12" s="26"/>
      <c r="BI12" s="48"/>
      <c r="BJ12" s="48"/>
      <c r="BK12" s="48"/>
      <c r="BL12" s="47"/>
      <c r="BM12" s="47"/>
      <c r="BN12" s="47"/>
      <c r="BO12" s="26"/>
      <c r="BP12" s="26"/>
      <c r="BQ12" s="26"/>
      <c r="BR12" s="26"/>
      <c r="BS12" s="26"/>
      <c r="BT12" s="26"/>
      <c r="BU12" s="26"/>
      <c r="BV12" s="48"/>
      <c r="BW12" s="48"/>
      <c r="BX12" s="48"/>
      <c r="BY12" s="47"/>
      <c r="BZ12" s="47"/>
      <c r="CA12" s="47"/>
      <c r="CB12" s="26"/>
      <c r="CC12" s="26"/>
      <c r="CD12" s="26"/>
      <c r="CE12" s="26"/>
      <c r="CF12" s="26"/>
      <c r="CG12" s="26"/>
      <c r="CH12" s="26"/>
      <c r="CI12" s="26"/>
    </row>
    <row r="13" spans="1:87" ht="16.5" customHeight="1" x14ac:dyDescent="0.45">
      <c r="A13" s="122" t="s">
        <v>53</v>
      </c>
      <c r="B13" s="115" t="s">
        <v>82</v>
      </c>
      <c r="C13" s="115" t="s">
        <v>83</v>
      </c>
      <c r="D13" s="115" t="s">
        <v>45</v>
      </c>
      <c r="E13" s="115" t="s">
        <v>3</v>
      </c>
      <c r="F13" s="115" t="s">
        <v>4</v>
      </c>
      <c r="G13" s="115" t="s">
        <v>46</v>
      </c>
      <c r="H13" s="115" t="s">
        <v>47</v>
      </c>
      <c r="I13" s="115" t="s">
        <v>48</v>
      </c>
      <c r="J13" s="115"/>
      <c r="K13" s="116" t="s">
        <v>67</v>
      </c>
      <c r="L13" s="114" t="s">
        <v>81</v>
      </c>
      <c r="M13" s="119" t="s">
        <v>84</v>
      </c>
      <c r="N13" s="114" t="s">
        <v>8</v>
      </c>
      <c r="O13" s="114" t="s">
        <v>112</v>
      </c>
      <c r="Q13" s="41"/>
      <c r="R13" s="47"/>
      <c r="S13" s="41"/>
      <c r="T13" s="41"/>
      <c r="U13" s="41"/>
      <c r="V13" s="44"/>
      <c r="W13" s="44"/>
      <c r="X13" s="44"/>
      <c r="Y13" s="47"/>
      <c r="Z13" s="47"/>
      <c r="AA13" s="47"/>
      <c r="AB13" s="41"/>
      <c r="AC13" s="41"/>
      <c r="AD13" s="41"/>
      <c r="AE13" s="41"/>
      <c r="AF13" s="41"/>
      <c r="AG13" s="41"/>
      <c r="AH13" s="41"/>
      <c r="AI13" s="44"/>
      <c r="AJ13" s="44"/>
      <c r="AK13" s="44"/>
      <c r="AL13" s="47"/>
      <c r="AM13" s="47"/>
      <c r="AN13" s="47"/>
      <c r="AO13" s="41"/>
      <c r="AP13" s="41"/>
      <c r="AQ13" s="41"/>
      <c r="AR13" s="41"/>
      <c r="AS13" s="41"/>
      <c r="AT13" s="41"/>
      <c r="AU13" s="41"/>
      <c r="AV13" s="44"/>
      <c r="AW13" s="44"/>
      <c r="AX13" s="44"/>
      <c r="AY13" s="47"/>
      <c r="AZ13" s="47"/>
      <c r="BA13" s="47"/>
      <c r="BB13" s="41"/>
      <c r="BC13" s="26"/>
      <c r="BD13" s="26"/>
      <c r="BE13" s="26"/>
      <c r="BF13" s="26"/>
      <c r="BG13" s="26"/>
      <c r="BH13" s="26"/>
      <c r="BI13" s="48"/>
      <c r="BJ13" s="48"/>
      <c r="BK13" s="48"/>
      <c r="BL13" s="47"/>
      <c r="BM13" s="47"/>
      <c r="BN13" s="47"/>
      <c r="BO13" s="26"/>
      <c r="BP13" s="26"/>
      <c r="BQ13" s="26"/>
      <c r="BR13" s="26"/>
      <c r="BS13" s="26"/>
      <c r="BT13" s="26"/>
      <c r="BU13" s="26"/>
      <c r="BV13" s="48"/>
      <c r="BW13" s="48"/>
      <c r="BX13" s="48"/>
      <c r="BY13" s="47"/>
      <c r="BZ13" s="47"/>
      <c r="CA13" s="47"/>
      <c r="CB13" s="26"/>
      <c r="CC13" s="26"/>
      <c r="CD13" s="26"/>
      <c r="CE13" s="26"/>
      <c r="CF13" s="26"/>
      <c r="CG13" s="26"/>
      <c r="CH13" s="26"/>
      <c r="CI13" s="26"/>
    </row>
    <row r="14" spans="1:87" ht="16.5" customHeight="1" x14ac:dyDescent="0.45">
      <c r="A14" s="122"/>
      <c r="B14" s="115"/>
      <c r="C14" s="115"/>
      <c r="D14" s="115"/>
      <c r="E14" s="115"/>
      <c r="F14" s="115"/>
      <c r="G14" s="115"/>
      <c r="H14" s="115"/>
      <c r="I14" s="115"/>
      <c r="J14" s="115"/>
      <c r="K14" s="117"/>
      <c r="L14" s="114"/>
      <c r="M14" s="120"/>
      <c r="N14" s="114"/>
      <c r="O14" s="114"/>
      <c r="Q14" s="41"/>
      <c r="R14" s="47"/>
      <c r="S14" s="41"/>
      <c r="T14" s="41"/>
      <c r="U14" s="41"/>
      <c r="V14" s="44"/>
      <c r="W14" s="44"/>
      <c r="X14" s="44"/>
      <c r="Y14" s="47"/>
      <c r="Z14" s="47"/>
      <c r="AA14" s="47"/>
      <c r="AB14" s="41"/>
      <c r="AC14" s="41"/>
      <c r="AD14" s="41"/>
      <c r="AE14" s="43"/>
      <c r="AF14" s="41"/>
      <c r="AG14" s="41"/>
      <c r="AH14" s="41"/>
      <c r="AI14" s="44"/>
      <c r="AJ14" s="44"/>
      <c r="AK14" s="44"/>
      <c r="AL14" s="47"/>
      <c r="AM14" s="47"/>
      <c r="AN14" s="47"/>
      <c r="AO14" s="41"/>
      <c r="AP14" s="41"/>
      <c r="AQ14" s="41"/>
      <c r="AR14" s="43"/>
      <c r="AS14" s="41"/>
      <c r="AT14" s="41"/>
      <c r="AU14" s="41"/>
      <c r="AV14" s="44"/>
      <c r="AW14" s="44"/>
      <c r="AX14" s="44"/>
      <c r="AY14" s="47"/>
      <c r="AZ14" s="47"/>
      <c r="BA14" s="47"/>
      <c r="BB14" s="41"/>
      <c r="BC14" s="26"/>
      <c r="BD14" s="26"/>
      <c r="BE14" s="32"/>
      <c r="BF14" s="26"/>
      <c r="BG14" s="26"/>
      <c r="BH14" s="26"/>
      <c r="BI14" s="48"/>
      <c r="BJ14" s="48"/>
      <c r="BK14" s="48"/>
      <c r="BL14" s="47"/>
      <c r="BM14" s="47"/>
      <c r="BN14" s="47"/>
      <c r="BO14" s="26"/>
      <c r="BP14" s="26"/>
      <c r="BQ14" s="26"/>
      <c r="BR14" s="32"/>
      <c r="BS14" s="26"/>
      <c r="BT14" s="26"/>
      <c r="BU14" s="26"/>
      <c r="BV14" s="48"/>
      <c r="BW14" s="48"/>
      <c r="BX14" s="48"/>
      <c r="BY14" s="47"/>
      <c r="BZ14" s="47"/>
      <c r="CA14" s="47"/>
      <c r="CB14" s="26"/>
      <c r="CC14" s="26"/>
      <c r="CD14" s="26"/>
      <c r="CE14" s="26"/>
      <c r="CF14" s="26"/>
      <c r="CG14" s="26"/>
      <c r="CH14" s="26"/>
      <c r="CI14" s="26"/>
    </row>
    <row r="15" spans="1:87" ht="16.5" customHeight="1" x14ac:dyDescent="0.45">
      <c r="A15" s="122"/>
      <c r="B15" s="115"/>
      <c r="C15" s="115"/>
      <c r="D15" s="115"/>
      <c r="E15" s="115"/>
      <c r="F15" s="115"/>
      <c r="G15" s="115"/>
      <c r="H15" s="115"/>
      <c r="I15" s="107" t="s">
        <v>86</v>
      </c>
      <c r="J15" s="29" t="s">
        <v>85</v>
      </c>
      <c r="K15" s="118"/>
      <c r="L15" s="114"/>
      <c r="M15" s="121"/>
      <c r="N15" s="114"/>
      <c r="O15" s="114"/>
      <c r="Q15" s="41"/>
      <c r="R15" s="47"/>
      <c r="S15" s="41"/>
      <c r="T15" s="41"/>
      <c r="U15" s="41"/>
      <c r="V15" s="44"/>
      <c r="W15" s="44"/>
      <c r="X15" s="44"/>
      <c r="Y15" s="47"/>
      <c r="Z15" s="47"/>
      <c r="AA15" s="47"/>
      <c r="AB15" s="41"/>
      <c r="AC15" s="41"/>
      <c r="AD15" s="41"/>
      <c r="AE15" s="41"/>
      <c r="AF15" s="41"/>
      <c r="AG15" s="41"/>
      <c r="AH15" s="41"/>
      <c r="AI15" s="60"/>
      <c r="AJ15" s="60"/>
      <c r="AK15" s="60"/>
      <c r="AL15" s="47"/>
      <c r="AM15" s="47"/>
      <c r="AN15" s="47"/>
      <c r="AO15" s="41"/>
      <c r="AP15" s="41"/>
      <c r="AQ15" s="41"/>
      <c r="AR15" s="41"/>
      <c r="AS15" s="41"/>
      <c r="AT15" s="41"/>
      <c r="AU15" s="41"/>
      <c r="AV15" s="60"/>
      <c r="AW15" s="60"/>
      <c r="AX15" s="60"/>
      <c r="AY15" s="47"/>
      <c r="AZ15" s="47"/>
      <c r="BA15" s="47"/>
      <c r="BB15" s="41"/>
      <c r="BC15" s="26"/>
      <c r="BD15" s="26"/>
      <c r="BE15" s="26"/>
      <c r="BF15" s="26"/>
      <c r="BG15" s="26"/>
      <c r="BH15" s="26"/>
      <c r="BI15" s="68"/>
      <c r="BJ15" s="68"/>
      <c r="BK15" s="68"/>
      <c r="BL15" s="47"/>
      <c r="BM15" s="47"/>
      <c r="BN15" s="47"/>
      <c r="BO15" s="26"/>
      <c r="BP15" s="26"/>
      <c r="BQ15" s="26"/>
      <c r="BR15" s="26"/>
      <c r="BS15" s="26"/>
      <c r="BT15" s="26"/>
      <c r="BU15" s="26"/>
      <c r="BV15" s="68"/>
      <c r="BW15" s="68"/>
      <c r="BX15" s="68"/>
      <c r="BY15" s="47"/>
      <c r="BZ15" s="47"/>
      <c r="CA15" s="47"/>
      <c r="CB15" s="26"/>
      <c r="CC15" s="26"/>
      <c r="CD15" s="26"/>
      <c r="CE15" s="26"/>
      <c r="CF15" s="26"/>
      <c r="CG15" s="26"/>
      <c r="CH15" s="26"/>
      <c r="CI15" s="26"/>
    </row>
    <row r="16" spans="1:87" ht="23.25" x14ac:dyDescent="0.45">
      <c r="A16" s="83">
        <v>1</v>
      </c>
      <c r="B16" s="51">
        <v>500</v>
      </c>
      <c r="C16" s="51">
        <v>500</v>
      </c>
      <c r="D16" s="51" t="s">
        <v>20</v>
      </c>
      <c r="E16" s="51" t="s">
        <v>28</v>
      </c>
      <c r="F16" s="51" t="s">
        <v>31</v>
      </c>
      <c r="G16" s="51" t="s">
        <v>35</v>
      </c>
      <c r="H16" s="50" t="s">
        <v>94</v>
      </c>
      <c r="I16" s="82"/>
      <c r="J16" s="82"/>
      <c r="K16" s="82" t="str" cm="1">
        <f t="array" aca="1" ref="K16" ca="1">Артикул1</f>
        <v>ML.500.500.WCLV</v>
      </c>
      <c r="L16" s="91">
        <f>IF($B$16=0, "",CEILING($B$16*0.0096,1))</f>
        <v>5</v>
      </c>
      <c r="M16" s="91">
        <f>IF($N$16=0, " ",$L$16*$N$16)</f>
        <v>5</v>
      </c>
      <c r="N16" s="91">
        <v>1</v>
      </c>
      <c r="O16" s="95" cm="1">
        <f t="array" aca="1" ref="O16" ca="1">Цена1</f>
        <v>3466.4319999999998</v>
      </c>
      <c r="Q16" s="41"/>
      <c r="R16" s="41"/>
      <c r="S16" s="93"/>
      <c r="T16" s="41"/>
      <c r="U16" s="41"/>
      <c r="V16" s="60"/>
      <c r="W16" s="60"/>
      <c r="X16" s="60"/>
      <c r="Y16" s="47"/>
      <c r="Z16" s="47"/>
      <c r="AA16" s="47"/>
      <c r="AB16" s="41"/>
      <c r="AC16" s="41"/>
      <c r="AD16" s="41"/>
      <c r="AE16" s="41"/>
      <c r="AF16" s="41"/>
      <c r="AG16" s="41"/>
      <c r="AH16" s="41"/>
      <c r="AI16" s="44"/>
      <c r="AJ16" s="44"/>
      <c r="AK16" s="44"/>
      <c r="AL16" s="47"/>
      <c r="AM16" s="47"/>
      <c r="AN16" s="47"/>
      <c r="AO16" s="41"/>
      <c r="AP16" s="41"/>
      <c r="AQ16" s="41"/>
      <c r="AR16" s="41"/>
      <c r="AS16" s="41"/>
      <c r="AT16" s="41"/>
      <c r="AU16" s="41"/>
      <c r="AV16" s="44"/>
      <c r="AW16" s="44"/>
      <c r="AX16" s="44"/>
      <c r="AY16" s="47"/>
      <c r="AZ16" s="47"/>
      <c r="BA16" s="47"/>
      <c r="BB16" s="41"/>
      <c r="BC16" s="26"/>
      <c r="BD16" s="26"/>
      <c r="BE16" s="26"/>
      <c r="BF16" s="26"/>
      <c r="BG16" s="26"/>
      <c r="BH16" s="26"/>
      <c r="BI16" s="48"/>
      <c r="BJ16" s="48"/>
      <c r="BK16" s="48"/>
      <c r="BL16" s="47"/>
      <c r="BM16" s="47"/>
      <c r="BN16" s="47"/>
      <c r="BO16" s="26"/>
      <c r="BP16" s="26"/>
      <c r="BQ16" s="26"/>
      <c r="BR16" s="26"/>
      <c r="BS16" s="26"/>
      <c r="BT16" s="26"/>
      <c r="BU16" s="26"/>
      <c r="BV16" s="48"/>
      <c r="BW16" s="48"/>
      <c r="BX16" s="48"/>
      <c r="BY16" s="47"/>
      <c r="BZ16" s="47"/>
      <c r="CA16" s="47"/>
      <c r="CB16" s="26"/>
      <c r="CC16" s="26"/>
      <c r="CD16" s="26"/>
      <c r="CE16" s="26"/>
      <c r="CF16" s="26"/>
      <c r="CG16" s="26"/>
      <c r="CH16" s="26"/>
      <c r="CI16" s="26"/>
    </row>
    <row r="17" spans="1:87" s="86" customFormat="1" x14ac:dyDescent="0.45">
      <c r="A17" s="83">
        <v>2</v>
      </c>
      <c r="B17" s="51"/>
      <c r="C17" s="51"/>
      <c r="D17" s="51"/>
      <c r="E17" s="51"/>
      <c r="F17" s="51"/>
      <c r="G17" s="51"/>
      <c r="H17" s="84"/>
      <c r="I17" s="82"/>
      <c r="J17" s="82"/>
      <c r="K17" s="82" t="str" cm="1">
        <f t="array" aca="1" ref="K17" ca="1">Артикул2</f>
        <v/>
      </c>
      <c r="L17" s="91" t="str">
        <f>IF($B$17=0, "",CEILING($B$17*0.0096,1))</f>
        <v/>
      </c>
      <c r="M17" s="91" t="str">
        <f>IF($N$17=0, " ",$L$17*$N$17)</f>
        <v xml:space="preserve"> </v>
      </c>
      <c r="N17" s="91"/>
      <c r="O17" s="96" t="str" cm="1">
        <f t="array" aca="1" ref="O17" ca="1">Цена2</f>
        <v/>
      </c>
      <c r="Q17" s="42"/>
      <c r="R17" s="42"/>
      <c r="S17" s="42"/>
      <c r="T17" s="42"/>
      <c r="U17" s="42"/>
      <c r="V17" s="47"/>
      <c r="W17" s="47"/>
      <c r="X17" s="47"/>
      <c r="Y17" s="47"/>
      <c r="Z17" s="47"/>
      <c r="AA17" s="47"/>
      <c r="AB17" s="85"/>
      <c r="AC17" s="85"/>
      <c r="AD17" s="85"/>
      <c r="AE17" s="85"/>
      <c r="AF17" s="85"/>
      <c r="AG17" s="85"/>
      <c r="AH17" s="42"/>
      <c r="AI17" s="85"/>
      <c r="AJ17" s="85"/>
      <c r="AK17" s="85"/>
      <c r="AL17" s="74"/>
      <c r="AM17" s="74"/>
      <c r="AN17" s="74"/>
      <c r="AO17" s="85"/>
      <c r="AP17" s="85"/>
      <c r="AQ17" s="85"/>
      <c r="AR17" s="85"/>
      <c r="AS17" s="85"/>
      <c r="AT17" s="85"/>
      <c r="AU17" s="42"/>
      <c r="AV17" s="85"/>
      <c r="AW17" s="85"/>
      <c r="AX17" s="85"/>
      <c r="AY17" s="74"/>
      <c r="AZ17" s="74"/>
      <c r="BA17" s="74"/>
      <c r="BB17" s="85"/>
      <c r="BC17" s="85"/>
      <c r="BD17" s="85"/>
      <c r="BE17" s="85"/>
      <c r="BF17" s="85"/>
      <c r="BG17" s="85"/>
      <c r="BH17" s="42"/>
      <c r="BI17" s="85"/>
      <c r="BJ17" s="85"/>
      <c r="BK17" s="85"/>
      <c r="BL17" s="74"/>
      <c r="BM17" s="74"/>
      <c r="BN17" s="74"/>
      <c r="BO17" s="85"/>
      <c r="BP17" s="85"/>
      <c r="BQ17" s="85"/>
      <c r="BR17" s="85"/>
      <c r="BS17" s="85"/>
      <c r="BT17" s="85"/>
      <c r="BU17" s="42"/>
      <c r="BV17" s="85"/>
      <c r="BW17" s="85"/>
      <c r="BX17" s="85"/>
      <c r="BY17" s="74"/>
      <c r="BZ17" s="74"/>
      <c r="CA17" s="74"/>
      <c r="CB17" s="42"/>
      <c r="CC17" s="42"/>
      <c r="CD17" s="42"/>
      <c r="CE17" s="42"/>
      <c r="CF17" s="42"/>
      <c r="CG17" s="42"/>
      <c r="CH17" s="42"/>
      <c r="CI17" s="42"/>
    </row>
    <row r="18" spans="1:87" x14ac:dyDescent="0.45">
      <c r="A18" s="80">
        <v>3</v>
      </c>
      <c r="B18" s="51"/>
      <c r="C18" s="51"/>
      <c r="D18" s="51"/>
      <c r="E18" s="51"/>
      <c r="F18" s="51"/>
      <c r="G18" s="51"/>
      <c r="H18" s="84"/>
      <c r="I18" s="82"/>
      <c r="J18" s="82"/>
      <c r="K18" s="82" t="str" cm="1">
        <f t="array" aca="1" ref="K18" ca="1">Артикул3</f>
        <v/>
      </c>
      <c r="L18" s="91" t="str">
        <f>IF($B$18=0, "",CEILING($B$18*0.0096,1))</f>
        <v/>
      </c>
      <c r="M18" s="91" t="str">
        <f>IF($N$18=0, " ",$L$18*$N$18)</f>
        <v xml:space="preserve"> </v>
      </c>
      <c r="N18" s="91"/>
      <c r="O18" s="95" t="str" cm="1">
        <f t="array" aca="1" ref="O18" ca="1">Цена3</f>
        <v/>
      </c>
      <c r="Q18" s="41"/>
      <c r="R18" s="85"/>
      <c r="S18" s="85"/>
      <c r="T18" s="94"/>
      <c r="U18" s="93"/>
      <c r="V18" s="94"/>
      <c r="W18" s="85"/>
      <c r="X18" s="85"/>
      <c r="Y18" s="72"/>
      <c r="Z18" s="72"/>
      <c r="AA18" s="72"/>
      <c r="AB18" s="41"/>
      <c r="AC18" s="41"/>
      <c r="AD18" s="41"/>
      <c r="AE18" s="41"/>
      <c r="AF18" s="41"/>
      <c r="AG18" s="41"/>
      <c r="AH18" s="41"/>
      <c r="AI18" s="44"/>
      <c r="AJ18" s="44"/>
      <c r="AK18" s="44"/>
      <c r="AL18" s="47"/>
      <c r="AM18" s="47"/>
      <c r="AN18" s="47"/>
      <c r="AO18" s="41"/>
      <c r="AP18" s="41"/>
      <c r="AQ18" s="41"/>
      <c r="AR18" s="41"/>
      <c r="AS18" s="41"/>
      <c r="AT18" s="41"/>
      <c r="AU18" s="41"/>
      <c r="AV18" s="44"/>
      <c r="AW18" s="44"/>
      <c r="AX18" s="44"/>
      <c r="AY18" s="47"/>
      <c r="AZ18" s="47"/>
      <c r="BA18" s="47"/>
      <c r="BB18" s="41"/>
      <c r="BC18" s="26"/>
      <c r="BD18" s="26"/>
      <c r="BE18" s="26"/>
      <c r="BF18" s="26"/>
      <c r="BG18" s="26"/>
      <c r="BH18" s="26"/>
      <c r="BI18" s="48"/>
      <c r="BJ18" s="48"/>
      <c r="BK18" s="48"/>
      <c r="BL18" s="47"/>
      <c r="BM18" s="47"/>
      <c r="BN18" s="47"/>
      <c r="BO18" s="26"/>
      <c r="BP18" s="26"/>
      <c r="BQ18" s="26"/>
      <c r="BR18" s="26"/>
      <c r="BS18" s="26"/>
      <c r="BT18" s="26"/>
      <c r="BU18" s="26"/>
      <c r="BV18" s="48"/>
      <c r="BW18" s="48"/>
      <c r="BX18" s="48"/>
      <c r="BY18" s="47"/>
      <c r="BZ18" s="47"/>
      <c r="CA18" s="47"/>
      <c r="CB18" s="26"/>
      <c r="CC18" s="26"/>
      <c r="CD18" s="26"/>
      <c r="CE18" s="26"/>
      <c r="CF18" s="26"/>
      <c r="CG18" s="26"/>
      <c r="CH18" s="26"/>
      <c r="CI18" s="26"/>
    </row>
    <row r="19" spans="1:87" x14ac:dyDescent="0.45">
      <c r="A19" s="80">
        <v>4</v>
      </c>
      <c r="B19" s="51"/>
      <c r="C19" s="51"/>
      <c r="D19" s="51"/>
      <c r="E19" s="51"/>
      <c r="F19" s="51"/>
      <c r="G19" s="51"/>
      <c r="H19" s="84"/>
      <c r="I19" s="82"/>
      <c r="J19" s="82"/>
      <c r="K19" s="82" t="str" cm="1">
        <f t="array" aca="1" ref="K19" ca="1">Артикул4</f>
        <v/>
      </c>
      <c r="L19" s="91" t="str">
        <f>IF($B$19=0, "",CEILING($B$19*0.0096,1))</f>
        <v/>
      </c>
      <c r="M19" s="91" t="str">
        <f>IF($N$19=0, " ",$L$19*$N$19)</f>
        <v xml:space="preserve"> </v>
      </c>
      <c r="N19" s="91"/>
      <c r="O19" s="95" t="str" cm="1">
        <f t="array" aca="1" ref="O19" ca="1">Цена4</f>
        <v/>
      </c>
      <c r="Q19" s="41"/>
      <c r="R19" s="41"/>
      <c r="S19" s="41"/>
      <c r="T19" s="41"/>
      <c r="U19" s="41"/>
      <c r="V19" s="44"/>
      <c r="W19" s="44"/>
      <c r="X19" s="44"/>
      <c r="Y19" s="47"/>
      <c r="Z19" s="47"/>
      <c r="AA19" s="47"/>
      <c r="AB19" s="41"/>
      <c r="AC19" s="41"/>
      <c r="AD19" s="41"/>
      <c r="AE19" s="41"/>
      <c r="AF19" s="41"/>
      <c r="AG19" s="41"/>
      <c r="AH19" s="41"/>
      <c r="AI19" s="44"/>
      <c r="AJ19" s="44"/>
      <c r="AK19" s="44"/>
      <c r="AL19" s="47"/>
      <c r="AM19" s="47"/>
      <c r="AN19" s="47"/>
      <c r="AO19" s="41"/>
      <c r="AP19" s="41"/>
      <c r="AQ19" s="41"/>
      <c r="AR19" s="41"/>
      <c r="AS19" s="41"/>
      <c r="AT19" s="41"/>
      <c r="AU19" s="41"/>
      <c r="AV19" s="44"/>
      <c r="AW19" s="44"/>
      <c r="AX19" s="44"/>
      <c r="AY19" s="47"/>
      <c r="AZ19" s="47"/>
      <c r="BA19" s="47"/>
      <c r="BB19" s="41"/>
      <c r="BC19" s="26"/>
      <c r="BD19" s="26"/>
      <c r="BE19" s="26"/>
      <c r="BF19" s="26"/>
      <c r="BG19" s="26"/>
      <c r="BH19" s="26"/>
      <c r="BI19" s="48"/>
      <c r="BJ19" s="48"/>
      <c r="BK19" s="48"/>
      <c r="BL19" s="47"/>
      <c r="BM19" s="47"/>
      <c r="BN19" s="47"/>
      <c r="BO19" s="26"/>
      <c r="BP19" s="26"/>
      <c r="BQ19" s="26"/>
      <c r="BR19" s="26"/>
      <c r="BS19" s="26"/>
      <c r="BT19" s="26"/>
      <c r="BU19" s="26"/>
      <c r="BV19" s="48"/>
      <c r="BW19" s="48"/>
      <c r="BX19" s="48"/>
      <c r="BY19" s="47"/>
      <c r="BZ19" s="47"/>
      <c r="CA19" s="47"/>
      <c r="CB19" s="26"/>
      <c r="CC19" s="26"/>
      <c r="CD19" s="26"/>
      <c r="CE19" s="26"/>
      <c r="CF19" s="26"/>
      <c r="CG19" s="26"/>
      <c r="CH19" s="26"/>
      <c r="CI19" s="26"/>
    </row>
    <row r="20" spans="1:87" x14ac:dyDescent="0.45">
      <c r="A20" s="80">
        <v>5</v>
      </c>
      <c r="B20" s="51"/>
      <c r="C20" s="51"/>
      <c r="D20" s="51"/>
      <c r="E20" s="51"/>
      <c r="F20" s="51"/>
      <c r="G20" s="51"/>
      <c r="H20" s="84"/>
      <c r="I20" s="82"/>
      <c r="J20" s="82"/>
      <c r="K20" s="82" t="str" cm="1">
        <f t="array" aca="1" ref="K20" ca="1">Артикул5</f>
        <v/>
      </c>
      <c r="L20" s="91" t="str">
        <f>IF($B$20=0, "",CEILING($B$20*0.0096,1))</f>
        <v/>
      </c>
      <c r="M20" s="91" t="str">
        <f>IF($N$20=0, " ",$L$20*$N$20)</f>
        <v xml:space="preserve"> </v>
      </c>
      <c r="N20" s="91"/>
      <c r="O20" s="95" t="str" cm="1">
        <f t="array" aca="1" ref="O20" ca="1">Цена5</f>
        <v/>
      </c>
      <c r="Q20" s="41"/>
      <c r="R20" s="41"/>
      <c r="S20" s="41"/>
      <c r="T20" s="41"/>
      <c r="U20" s="41"/>
      <c r="V20" s="44"/>
      <c r="W20" s="44"/>
      <c r="X20" s="44"/>
      <c r="Y20" s="47"/>
      <c r="Z20" s="47"/>
      <c r="AA20" s="47"/>
      <c r="AB20" s="41"/>
      <c r="AC20" s="41"/>
      <c r="AD20" s="41"/>
      <c r="AE20" s="41"/>
      <c r="AF20" s="41"/>
      <c r="AG20" s="41"/>
      <c r="AH20" s="41"/>
      <c r="AI20" s="44"/>
      <c r="AJ20" s="44"/>
      <c r="AK20" s="44"/>
      <c r="AL20" s="47"/>
      <c r="AM20" s="47"/>
      <c r="AN20" s="47"/>
      <c r="AO20" s="41"/>
      <c r="AP20" s="41"/>
      <c r="AQ20" s="41"/>
      <c r="AR20" s="41"/>
      <c r="AS20" s="41"/>
      <c r="AT20" s="41"/>
      <c r="AU20" s="41"/>
      <c r="AV20" s="44"/>
      <c r="AW20" s="44"/>
      <c r="AX20" s="44"/>
      <c r="AY20" s="47"/>
      <c r="AZ20" s="47"/>
      <c r="BA20" s="47"/>
      <c r="BB20" s="41"/>
      <c r="BC20" s="26"/>
      <c r="BD20" s="26"/>
      <c r="BE20" s="26"/>
      <c r="BF20" s="26"/>
      <c r="BG20" s="26"/>
      <c r="BH20" s="26"/>
      <c r="BI20" s="48"/>
      <c r="BJ20" s="48"/>
      <c r="BK20" s="48"/>
      <c r="BL20" s="47"/>
      <c r="BM20" s="47"/>
      <c r="BN20" s="47"/>
      <c r="BO20" s="26"/>
      <c r="BP20" s="26"/>
      <c r="BQ20" s="26"/>
      <c r="BR20" s="26"/>
      <c r="BS20" s="26"/>
      <c r="BT20" s="26"/>
      <c r="BU20" s="26"/>
      <c r="BV20" s="48"/>
      <c r="BW20" s="48"/>
      <c r="BX20" s="48"/>
      <c r="BY20" s="47"/>
      <c r="BZ20" s="47"/>
      <c r="CA20" s="47"/>
      <c r="CB20" s="26"/>
      <c r="CC20" s="26"/>
      <c r="CD20" s="26"/>
      <c r="CE20" s="26"/>
      <c r="CF20" s="26"/>
      <c r="CG20" s="26"/>
      <c r="CH20" s="26"/>
      <c r="CI20" s="26"/>
    </row>
    <row r="21" spans="1:87" ht="15.75" customHeight="1" x14ac:dyDescent="0.45">
      <c r="A21" s="137" t="s">
        <v>93</v>
      </c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Q21" s="41"/>
      <c r="R21" s="41"/>
      <c r="S21" s="41"/>
      <c r="T21" s="41"/>
      <c r="U21" s="41"/>
      <c r="V21" s="44"/>
      <c r="W21" s="44"/>
      <c r="X21" s="44"/>
      <c r="Y21" s="47"/>
      <c r="Z21" s="47"/>
      <c r="AA21" s="47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2"/>
      <c r="AM21" s="42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2"/>
      <c r="AZ21" s="27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7"/>
      <c r="BM21" s="27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7"/>
      <c r="BZ21" s="27"/>
      <c r="CA21" s="26"/>
      <c r="CB21" s="26"/>
      <c r="CC21" s="26"/>
      <c r="CD21" s="26"/>
      <c r="CE21" s="26"/>
      <c r="CF21" s="26"/>
      <c r="CG21" s="26"/>
      <c r="CH21" s="26"/>
      <c r="CI21" s="26"/>
    </row>
    <row r="22" spans="1:87" ht="50.25" customHeight="1" x14ac:dyDescent="0.45">
      <c r="A22" s="137"/>
      <c r="B22" s="137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Q22" s="41"/>
      <c r="R22" s="41"/>
      <c r="S22" s="41"/>
      <c r="T22" s="41"/>
      <c r="U22" s="41"/>
      <c r="V22" s="41"/>
      <c r="W22" s="41"/>
      <c r="X22" s="41"/>
      <c r="Y22" s="42"/>
      <c r="Z22" s="42"/>
      <c r="AA22" s="41"/>
      <c r="AB22" s="41"/>
      <c r="AC22" s="105"/>
      <c r="AD22" s="44"/>
      <c r="AE22" s="44"/>
      <c r="AF22" s="44"/>
      <c r="AG22" s="44"/>
      <c r="AH22" s="44"/>
      <c r="AI22" s="44"/>
      <c r="AJ22" s="44"/>
      <c r="AK22" s="44"/>
      <c r="AL22" s="44"/>
      <c r="AM22" s="67"/>
      <c r="AN22" s="67"/>
      <c r="AO22" s="41"/>
      <c r="AP22" s="105"/>
      <c r="AQ22" s="44"/>
      <c r="AR22" s="44"/>
      <c r="AS22" s="44"/>
      <c r="AT22" s="44"/>
      <c r="AU22" s="44"/>
      <c r="AV22" s="44"/>
      <c r="AW22" s="44"/>
      <c r="AX22" s="44"/>
      <c r="AY22" s="44"/>
      <c r="AZ22" s="59"/>
      <c r="BA22" s="59"/>
      <c r="BB22" s="26"/>
      <c r="BC22" s="58"/>
      <c r="BD22" s="48"/>
      <c r="BE22" s="48"/>
      <c r="BF22" s="48"/>
      <c r="BG22" s="48"/>
      <c r="BH22" s="48"/>
      <c r="BI22" s="48"/>
      <c r="BJ22" s="48"/>
      <c r="BK22" s="48"/>
      <c r="BL22" s="48"/>
      <c r="BM22" s="59"/>
      <c r="BN22" s="59"/>
      <c r="BO22" s="26"/>
      <c r="BP22" s="58"/>
      <c r="BQ22" s="48"/>
      <c r="BR22" s="48"/>
      <c r="BS22" s="48"/>
      <c r="BT22" s="48"/>
      <c r="BU22" s="48"/>
      <c r="BV22" s="48"/>
      <c r="BW22" s="48"/>
      <c r="BX22" s="48"/>
      <c r="BY22" s="48"/>
      <c r="BZ22" s="59"/>
      <c r="CA22" s="59"/>
      <c r="CB22" s="26"/>
      <c r="CC22" s="26"/>
      <c r="CD22" s="26"/>
      <c r="CE22" s="26"/>
      <c r="CF22" s="26"/>
      <c r="CG22" s="26"/>
      <c r="CH22" s="26"/>
      <c r="CI22" s="26"/>
    </row>
    <row r="23" spans="1:87" ht="15.75" customHeight="1" x14ac:dyDescent="0.45">
      <c r="A23" s="138" t="s">
        <v>88</v>
      </c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Q23" s="41"/>
      <c r="R23" s="44"/>
      <c r="S23" s="44"/>
      <c r="T23" s="44"/>
      <c r="U23" s="44"/>
      <c r="V23" s="44"/>
      <c r="W23" s="44"/>
      <c r="X23" s="44"/>
      <c r="Y23" s="67"/>
      <c r="Z23" s="67"/>
      <c r="AA23" s="67"/>
      <c r="AB23" s="41"/>
      <c r="AC23" s="60"/>
      <c r="AD23" s="65"/>
      <c r="AE23" s="65"/>
      <c r="AF23" s="69"/>
      <c r="AG23" s="69"/>
      <c r="AH23" s="69"/>
      <c r="AI23" s="65"/>
      <c r="AJ23" s="65"/>
      <c r="AK23" s="69"/>
      <c r="AL23" s="69"/>
      <c r="AM23" s="61"/>
      <c r="AN23" s="62"/>
      <c r="AO23" s="41"/>
      <c r="AP23" s="60"/>
      <c r="AQ23" s="65"/>
      <c r="AR23" s="65"/>
      <c r="AS23" s="69"/>
      <c r="AT23" s="69"/>
      <c r="AU23" s="69"/>
      <c r="AV23" s="65"/>
      <c r="AW23" s="65"/>
      <c r="AX23" s="69"/>
      <c r="AY23" s="69"/>
      <c r="AZ23" s="61"/>
      <c r="BA23" s="62"/>
      <c r="BB23" s="26"/>
      <c r="BC23" s="60"/>
      <c r="BD23" s="65"/>
      <c r="BE23" s="65"/>
      <c r="BF23" s="69"/>
      <c r="BG23" s="69"/>
      <c r="BH23" s="69"/>
      <c r="BI23" s="65"/>
      <c r="BJ23" s="65"/>
      <c r="BK23" s="69"/>
      <c r="BL23" s="69"/>
      <c r="BM23" s="61"/>
      <c r="BN23" s="62"/>
      <c r="BO23" s="26"/>
      <c r="BP23" s="60"/>
      <c r="BQ23" s="65"/>
      <c r="BR23" s="65"/>
      <c r="BS23" s="69"/>
      <c r="BT23" s="69"/>
      <c r="BU23" s="69"/>
      <c r="BV23" s="65"/>
      <c r="BW23" s="65"/>
      <c r="BX23" s="69"/>
      <c r="BY23" s="69"/>
      <c r="BZ23" s="61"/>
      <c r="CA23" s="62"/>
      <c r="CB23" s="26"/>
      <c r="CC23" s="26"/>
      <c r="CD23" s="26"/>
      <c r="CE23" s="26"/>
      <c r="CF23" s="26"/>
      <c r="CG23" s="26"/>
      <c r="CH23" s="26"/>
      <c r="CI23" s="26"/>
    </row>
    <row r="24" spans="1:87" ht="48" customHeight="1" x14ac:dyDescent="0.45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Q24" s="41"/>
      <c r="R24" s="65"/>
      <c r="S24" s="69"/>
      <c r="T24" s="69"/>
      <c r="U24" s="69"/>
      <c r="V24" s="65"/>
      <c r="W24" s="65"/>
      <c r="X24" s="63"/>
      <c r="Y24" s="61"/>
      <c r="Z24" s="61"/>
      <c r="AA24" s="62"/>
      <c r="AB24" s="41"/>
      <c r="AC24" s="60"/>
      <c r="AD24" s="65"/>
      <c r="AE24" s="65"/>
      <c r="AF24" s="69"/>
      <c r="AG24" s="69"/>
      <c r="AH24" s="69"/>
      <c r="AI24" s="65"/>
      <c r="AJ24" s="65"/>
      <c r="AK24" s="69"/>
      <c r="AL24" s="69"/>
      <c r="AM24" s="61"/>
      <c r="AN24" s="62"/>
      <c r="AO24" s="41"/>
      <c r="AP24" s="60"/>
      <c r="AQ24" s="65"/>
      <c r="AR24" s="65"/>
      <c r="AS24" s="69"/>
      <c r="AT24" s="69"/>
      <c r="AU24" s="69"/>
      <c r="AV24" s="65"/>
      <c r="AW24" s="65"/>
      <c r="AX24" s="69"/>
      <c r="AY24" s="69"/>
      <c r="AZ24" s="61"/>
      <c r="BA24" s="62"/>
      <c r="BB24" s="26"/>
      <c r="BC24" s="60"/>
      <c r="BD24" s="65"/>
      <c r="BE24" s="65"/>
      <c r="BF24" s="69"/>
      <c r="BG24" s="69"/>
      <c r="BH24" s="69"/>
      <c r="BI24" s="65"/>
      <c r="BJ24" s="65"/>
      <c r="BK24" s="69"/>
      <c r="BL24" s="69"/>
      <c r="BM24" s="61"/>
      <c r="BN24" s="62"/>
      <c r="BO24" s="26"/>
      <c r="BP24" s="60"/>
      <c r="BQ24" s="65"/>
      <c r="BR24" s="65"/>
      <c r="BS24" s="69"/>
      <c r="BT24" s="69"/>
      <c r="BU24" s="69"/>
      <c r="BV24" s="65"/>
      <c r="BW24" s="65"/>
      <c r="BX24" s="69"/>
      <c r="BY24" s="69"/>
      <c r="BZ24" s="61"/>
      <c r="CA24" s="62"/>
      <c r="CB24" s="26"/>
      <c r="CC24" s="26"/>
      <c r="CD24" s="26"/>
      <c r="CE24" s="26"/>
      <c r="CF24" s="26"/>
      <c r="CG24" s="26"/>
      <c r="CH24" s="26"/>
      <c r="CI24" s="26"/>
    </row>
    <row r="25" spans="1:87" x14ac:dyDescent="0.45">
      <c r="A25" s="97"/>
      <c r="B25" s="98"/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99"/>
      <c r="Q25" s="41"/>
      <c r="R25" s="65"/>
      <c r="S25" s="69"/>
      <c r="T25" s="69"/>
      <c r="U25" s="69"/>
      <c r="V25" s="65"/>
      <c r="W25" s="65"/>
      <c r="X25" s="63"/>
      <c r="Y25" s="61"/>
      <c r="Z25" s="61"/>
      <c r="AA25" s="62"/>
      <c r="AB25" s="41"/>
      <c r="AC25" s="60"/>
      <c r="AD25" s="65"/>
      <c r="AE25" s="65"/>
      <c r="AF25" s="69"/>
      <c r="AG25" s="69"/>
      <c r="AH25" s="69"/>
      <c r="AI25" s="65"/>
      <c r="AJ25" s="65"/>
      <c r="AK25" s="69"/>
      <c r="AL25" s="69"/>
      <c r="AM25" s="61"/>
      <c r="AN25" s="62"/>
      <c r="AO25" s="41"/>
      <c r="AP25" s="60"/>
      <c r="AQ25" s="65"/>
      <c r="AR25" s="65"/>
      <c r="AS25" s="69"/>
      <c r="AT25" s="69"/>
      <c r="AU25" s="69"/>
      <c r="AV25" s="65"/>
      <c r="AW25" s="65"/>
      <c r="AX25" s="69"/>
      <c r="AY25" s="69"/>
      <c r="AZ25" s="61"/>
      <c r="BA25" s="62"/>
      <c r="BB25" s="26"/>
      <c r="BC25" s="60"/>
      <c r="BD25" s="65"/>
      <c r="BE25" s="65"/>
      <c r="BF25" s="69"/>
      <c r="BG25" s="69"/>
      <c r="BH25" s="69"/>
      <c r="BI25" s="65"/>
      <c r="BJ25" s="65"/>
      <c r="BK25" s="69"/>
      <c r="BL25" s="69"/>
      <c r="BM25" s="61"/>
      <c r="BN25" s="62"/>
      <c r="BO25" s="26"/>
      <c r="BP25" s="60"/>
      <c r="BQ25" s="65"/>
      <c r="BR25" s="65"/>
      <c r="BS25" s="69"/>
      <c r="BT25" s="69"/>
      <c r="BU25" s="69"/>
      <c r="BV25" s="65"/>
      <c r="BW25" s="65"/>
      <c r="BX25" s="69"/>
      <c r="BY25" s="69"/>
      <c r="BZ25" s="61"/>
      <c r="CA25" s="62"/>
      <c r="CB25" s="26"/>
      <c r="CC25" s="26"/>
      <c r="CD25" s="26"/>
      <c r="CE25" s="26"/>
      <c r="CF25" s="26"/>
      <c r="CG25" s="26"/>
      <c r="CH25" s="26"/>
      <c r="CI25" s="26"/>
    </row>
    <row r="26" spans="1:87" x14ac:dyDescent="0.45">
      <c r="A26" s="76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100"/>
      <c r="P26" s="60"/>
      <c r="Q26" s="41"/>
      <c r="R26" s="65"/>
      <c r="S26" s="69"/>
      <c r="T26" s="69"/>
      <c r="U26" s="69"/>
      <c r="V26" s="65"/>
      <c r="W26" s="65"/>
      <c r="X26" s="63"/>
      <c r="Y26" s="61"/>
      <c r="Z26" s="61"/>
      <c r="AA26" s="62"/>
      <c r="AB26" s="41"/>
      <c r="AC26" s="60"/>
      <c r="AD26" s="65"/>
      <c r="AE26" s="65"/>
      <c r="AF26" s="69"/>
      <c r="AG26" s="69"/>
      <c r="AH26" s="69"/>
      <c r="AI26" s="65"/>
      <c r="AJ26" s="65"/>
      <c r="AK26" s="69"/>
      <c r="AL26" s="69"/>
      <c r="AM26" s="61"/>
      <c r="AN26" s="62"/>
      <c r="AO26" s="41"/>
      <c r="AP26" s="60"/>
      <c r="AQ26" s="65"/>
      <c r="AR26" s="65"/>
      <c r="AS26" s="69"/>
      <c r="AT26" s="69"/>
      <c r="AU26" s="69"/>
      <c r="AV26" s="65"/>
      <c r="AW26" s="65"/>
      <c r="AX26" s="69"/>
      <c r="AY26" s="69"/>
      <c r="AZ26" s="61"/>
      <c r="BA26" s="62"/>
      <c r="BB26" s="26"/>
      <c r="BC26" s="60"/>
      <c r="BD26" s="65"/>
      <c r="BE26" s="65"/>
      <c r="BF26" s="69"/>
      <c r="BG26" s="69"/>
      <c r="BH26" s="69"/>
      <c r="BI26" s="65"/>
      <c r="BJ26" s="65"/>
      <c r="BK26" s="69"/>
      <c r="BL26" s="69"/>
      <c r="BM26" s="61"/>
      <c r="BN26" s="62"/>
      <c r="BO26" s="26"/>
      <c r="BP26" s="60"/>
      <c r="BQ26" s="65"/>
      <c r="BR26" s="65"/>
      <c r="BS26" s="69"/>
      <c r="BT26" s="69"/>
      <c r="BU26" s="69"/>
      <c r="BV26" s="65"/>
      <c r="BW26" s="65"/>
      <c r="BX26" s="69"/>
      <c r="BY26" s="69"/>
      <c r="BZ26" s="61"/>
      <c r="CA26" s="62"/>
      <c r="CB26" s="26"/>
      <c r="CC26" s="26"/>
      <c r="CD26" s="26"/>
      <c r="CE26" s="26"/>
      <c r="CF26" s="26"/>
      <c r="CG26" s="26"/>
      <c r="CH26" s="26"/>
      <c r="CI26" s="26"/>
    </row>
    <row r="27" spans="1:87" x14ac:dyDescent="0.45">
      <c r="A27" s="76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100"/>
      <c r="P27" s="60"/>
      <c r="Q27" s="41"/>
      <c r="R27" s="65"/>
      <c r="S27" s="69"/>
      <c r="T27" s="69"/>
      <c r="U27" s="69"/>
      <c r="V27" s="65"/>
      <c r="W27" s="65"/>
      <c r="X27" s="63"/>
      <c r="Y27" s="61"/>
      <c r="Z27" s="61"/>
      <c r="AA27" s="62"/>
      <c r="AB27" s="41"/>
      <c r="AC27" s="60"/>
      <c r="AD27" s="65"/>
      <c r="AE27" s="65"/>
      <c r="AF27" s="69"/>
      <c r="AG27" s="69"/>
      <c r="AH27" s="69"/>
      <c r="AI27" s="65"/>
      <c r="AJ27" s="65"/>
      <c r="AK27" s="69"/>
      <c r="AL27" s="69"/>
      <c r="AM27" s="61"/>
      <c r="AN27" s="62"/>
      <c r="AO27" s="41"/>
      <c r="AP27" s="60"/>
      <c r="AQ27" s="65"/>
      <c r="AR27" s="65"/>
      <c r="AS27" s="69"/>
      <c r="AT27" s="69"/>
      <c r="AU27" s="69"/>
      <c r="AV27" s="65"/>
      <c r="AW27" s="65"/>
      <c r="AX27" s="69"/>
      <c r="AY27" s="69"/>
      <c r="AZ27" s="61"/>
      <c r="BA27" s="62"/>
      <c r="BB27" s="26"/>
      <c r="BC27" s="60"/>
      <c r="BD27" s="65"/>
      <c r="BE27" s="65"/>
      <c r="BF27" s="69"/>
      <c r="BG27" s="69"/>
      <c r="BH27" s="69"/>
      <c r="BI27" s="65"/>
      <c r="BJ27" s="65"/>
      <c r="BK27" s="69"/>
      <c r="BL27" s="69"/>
      <c r="BM27" s="61"/>
      <c r="BN27" s="62"/>
      <c r="BO27" s="26"/>
      <c r="BP27" s="60"/>
      <c r="BQ27" s="65"/>
      <c r="BR27" s="65"/>
      <c r="BS27" s="69"/>
      <c r="BT27" s="69"/>
      <c r="BU27" s="69"/>
      <c r="BV27" s="65"/>
      <c r="BW27" s="65"/>
      <c r="BX27" s="69"/>
      <c r="BY27" s="69"/>
      <c r="BZ27" s="61"/>
      <c r="CA27" s="62"/>
      <c r="CB27" s="26"/>
      <c r="CC27" s="26"/>
      <c r="CD27" s="26"/>
      <c r="CE27" s="26"/>
      <c r="CF27" s="26"/>
      <c r="CG27" s="26"/>
      <c r="CH27" s="26"/>
      <c r="CI27" s="26"/>
    </row>
    <row r="28" spans="1:87" x14ac:dyDescent="0.45">
      <c r="A28" s="76"/>
      <c r="B28" s="77"/>
      <c r="C28" s="77"/>
      <c r="D28" s="77"/>
      <c r="E28" s="77"/>
      <c r="F28" s="77" t="s">
        <v>70</v>
      </c>
      <c r="G28" s="77"/>
      <c r="H28" s="77"/>
      <c r="I28" s="77"/>
      <c r="J28" s="77"/>
      <c r="K28" s="77"/>
      <c r="L28" s="77"/>
      <c r="M28" s="77"/>
      <c r="N28" s="77"/>
      <c r="O28" s="100"/>
      <c r="P28" s="60"/>
      <c r="Q28" s="41"/>
      <c r="R28" s="65"/>
      <c r="S28" s="69"/>
      <c r="T28" s="69"/>
      <c r="U28" s="69"/>
      <c r="V28" s="65"/>
      <c r="W28" s="65"/>
      <c r="X28" s="63"/>
      <c r="Y28" s="61"/>
      <c r="Z28" s="61"/>
      <c r="AA28" s="62"/>
      <c r="AB28" s="41"/>
      <c r="AC28" s="60"/>
      <c r="AD28" s="65"/>
      <c r="AE28" s="65"/>
      <c r="AF28" s="69"/>
      <c r="AG28" s="69"/>
      <c r="AH28" s="69"/>
      <c r="AI28" s="65"/>
      <c r="AJ28" s="65"/>
      <c r="AK28" s="69"/>
      <c r="AL28" s="69"/>
      <c r="AM28" s="61"/>
      <c r="AN28" s="62"/>
      <c r="AO28" s="41"/>
      <c r="AP28" s="60"/>
      <c r="AQ28" s="65"/>
      <c r="AR28" s="65"/>
      <c r="AS28" s="69"/>
      <c r="AT28" s="69"/>
      <c r="AU28" s="69"/>
      <c r="AV28" s="65"/>
      <c r="AW28" s="65"/>
      <c r="AX28" s="69"/>
      <c r="AY28" s="69"/>
      <c r="AZ28" s="61"/>
      <c r="BA28" s="62"/>
      <c r="BB28" s="26"/>
      <c r="BC28" s="60"/>
      <c r="BD28" s="65"/>
      <c r="BE28" s="65"/>
      <c r="BF28" s="69"/>
      <c r="BG28" s="69"/>
      <c r="BH28" s="69"/>
      <c r="BI28" s="65"/>
      <c r="BJ28" s="65"/>
      <c r="BK28" s="69"/>
      <c r="BL28" s="69"/>
      <c r="BM28" s="61"/>
      <c r="BN28" s="62"/>
      <c r="BO28" s="26"/>
      <c r="BP28" s="60"/>
      <c r="BQ28" s="65"/>
      <c r="BR28" s="65"/>
      <c r="BS28" s="69"/>
      <c r="BT28" s="69"/>
      <c r="BU28" s="69"/>
      <c r="BV28" s="65"/>
      <c r="BW28" s="65"/>
      <c r="BX28" s="69"/>
      <c r="BY28" s="69"/>
      <c r="BZ28" s="61"/>
      <c r="CA28" s="62"/>
      <c r="CB28" s="26"/>
      <c r="CC28" s="26"/>
      <c r="CD28" s="26"/>
      <c r="CE28" s="26"/>
      <c r="CF28" s="26"/>
      <c r="CG28" s="26"/>
      <c r="CH28" s="26"/>
      <c r="CI28" s="26"/>
    </row>
    <row r="29" spans="1:87" ht="16.5" customHeight="1" x14ac:dyDescent="0.45">
      <c r="A29" s="76"/>
      <c r="B29" s="77" t="s">
        <v>96</v>
      </c>
      <c r="C29" s="77"/>
      <c r="D29" s="144" t="s">
        <v>97</v>
      </c>
      <c r="E29" s="144"/>
      <c r="F29" s="144" t="s">
        <v>94</v>
      </c>
      <c r="G29" s="144"/>
      <c r="H29" s="77"/>
      <c r="I29" s="77"/>
      <c r="J29" s="77"/>
      <c r="K29" s="112" t="s">
        <v>87</v>
      </c>
      <c r="L29" s="142" t="s">
        <v>111</v>
      </c>
      <c r="M29" s="142"/>
      <c r="N29" s="142" t="s">
        <v>95</v>
      </c>
      <c r="O29" s="143"/>
      <c r="P29" s="60"/>
      <c r="Q29" s="105"/>
      <c r="R29" s="65"/>
      <c r="S29" s="69"/>
      <c r="T29" s="69"/>
      <c r="U29" s="69"/>
      <c r="V29" s="65"/>
      <c r="W29" s="65"/>
      <c r="X29" s="63"/>
      <c r="Y29" s="61"/>
      <c r="Z29" s="61"/>
      <c r="AA29" s="62"/>
      <c r="AB29" s="41"/>
      <c r="AC29" s="60"/>
      <c r="AD29" s="65"/>
      <c r="AE29" s="65"/>
      <c r="AF29" s="69"/>
      <c r="AG29" s="69"/>
      <c r="AH29" s="69"/>
      <c r="AI29" s="71"/>
      <c r="AJ29" s="71"/>
      <c r="AK29" s="69"/>
      <c r="AL29" s="69"/>
      <c r="AM29" s="61"/>
      <c r="AN29" s="62"/>
      <c r="AO29" s="41"/>
      <c r="AP29" s="60"/>
      <c r="AQ29" s="65"/>
      <c r="AR29" s="65"/>
      <c r="AS29" s="69"/>
      <c r="AT29" s="69"/>
      <c r="AU29" s="69"/>
      <c r="AV29" s="71"/>
      <c r="AW29" s="71"/>
      <c r="AX29" s="69"/>
      <c r="AY29" s="69"/>
      <c r="AZ29" s="61"/>
      <c r="BA29" s="62"/>
      <c r="BB29" s="26"/>
      <c r="BC29" s="60"/>
      <c r="BD29" s="65"/>
      <c r="BE29" s="65"/>
      <c r="BF29" s="69"/>
      <c r="BG29" s="69"/>
      <c r="BH29" s="69"/>
      <c r="BI29" s="71"/>
      <c r="BJ29" s="71"/>
      <c r="BK29" s="69"/>
      <c r="BL29" s="69"/>
      <c r="BM29" s="61"/>
      <c r="BN29" s="62"/>
      <c r="BO29" s="26"/>
      <c r="BP29" s="60"/>
      <c r="BQ29" s="65"/>
      <c r="BR29" s="65"/>
      <c r="BS29" s="69"/>
      <c r="BT29" s="69"/>
      <c r="BU29" s="69"/>
      <c r="BV29" s="71"/>
      <c r="BW29" s="71"/>
      <c r="BX29" s="69"/>
      <c r="BY29" s="69"/>
      <c r="BZ29" s="61"/>
      <c r="CA29" s="62"/>
      <c r="CB29" s="26"/>
      <c r="CC29" s="26"/>
      <c r="CD29" s="26"/>
      <c r="CE29" s="26"/>
      <c r="CF29" s="26"/>
      <c r="CG29" s="26"/>
      <c r="CH29" s="26"/>
      <c r="CI29" s="26"/>
    </row>
    <row r="30" spans="1:87" ht="16.5" customHeight="1" x14ac:dyDescent="0.45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101"/>
      <c r="P30" s="60"/>
      <c r="Q30" s="60"/>
      <c r="R30" s="65"/>
      <c r="S30" s="69"/>
      <c r="T30" s="69"/>
      <c r="U30" s="69"/>
      <c r="V30" s="71"/>
      <c r="W30" s="71"/>
      <c r="X30" s="63"/>
      <c r="Y30" s="61"/>
      <c r="Z30" s="61"/>
      <c r="AA30" s="62"/>
      <c r="AB30" s="41"/>
      <c r="AC30" s="60"/>
      <c r="AD30" s="65"/>
      <c r="AE30" s="65"/>
      <c r="AF30" s="70"/>
      <c r="AG30" s="70"/>
      <c r="AH30" s="70"/>
      <c r="AI30" s="69"/>
      <c r="AJ30" s="69"/>
      <c r="AK30" s="69"/>
      <c r="AL30" s="69"/>
      <c r="AM30" s="61"/>
      <c r="AN30" s="62"/>
      <c r="AO30" s="41"/>
      <c r="AP30" s="60"/>
      <c r="AQ30" s="65"/>
      <c r="AR30" s="65"/>
      <c r="AS30" s="70"/>
      <c r="AT30" s="70"/>
      <c r="AU30" s="70"/>
      <c r="AV30" s="69"/>
      <c r="AW30" s="69"/>
      <c r="AX30" s="69"/>
      <c r="AY30" s="69"/>
      <c r="AZ30" s="61"/>
      <c r="BA30" s="62"/>
      <c r="BB30" s="26"/>
      <c r="BC30" s="60"/>
      <c r="BD30" s="65"/>
      <c r="BE30" s="65"/>
      <c r="BF30" s="70"/>
      <c r="BG30" s="70"/>
      <c r="BH30" s="70"/>
      <c r="BI30" s="69"/>
      <c r="BJ30" s="69"/>
      <c r="BK30" s="69"/>
      <c r="BL30" s="69"/>
      <c r="BM30" s="61"/>
      <c r="BN30" s="62"/>
      <c r="BO30" s="26"/>
      <c r="BP30" s="60"/>
      <c r="BQ30" s="65"/>
      <c r="BR30" s="65"/>
      <c r="BS30" s="70"/>
      <c r="BT30" s="70"/>
      <c r="BU30" s="70"/>
      <c r="BV30" s="69"/>
      <c r="BW30" s="69"/>
      <c r="BX30" s="69"/>
      <c r="BY30" s="69"/>
      <c r="BZ30" s="61"/>
      <c r="CA30" s="62"/>
      <c r="CB30" s="26"/>
      <c r="CC30" s="26"/>
      <c r="CD30" s="26"/>
      <c r="CE30" s="26"/>
      <c r="CF30" s="26"/>
      <c r="CG30" s="26"/>
      <c r="CH30" s="26"/>
      <c r="CI30" s="26"/>
    </row>
    <row r="31" spans="1:87" ht="15.75" customHeight="1" x14ac:dyDescent="0.45">
      <c r="A31" s="131" t="s">
        <v>57</v>
      </c>
      <c r="B31" s="132"/>
      <c r="C31" s="132"/>
      <c r="D31" s="132"/>
      <c r="E31" s="133"/>
      <c r="F31" s="140" t="s">
        <v>58</v>
      </c>
      <c r="G31" s="140"/>
      <c r="H31" s="140"/>
      <c r="I31" s="140"/>
      <c r="J31" s="140"/>
      <c r="K31" s="140"/>
      <c r="L31" s="140"/>
      <c r="M31" s="140"/>
      <c r="N31" s="140"/>
      <c r="O31" s="140"/>
      <c r="P31" s="60"/>
      <c r="Q31" s="60"/>
      <c r="R31" s="65"/>
      <c r="S31" s="70"/>
      <c r="T31" s="70"/>
      <c r="U31" s="70"/>
      <c r="V31" s="69"/>
      <c r="W31" s="69"/>
      <c r="X31" s="63"/>
      <c r="Y31" s="61"/>
      <c r="Z31" s="61"/>
      <c r="AA31" s="62"/>
      <c r="AB31" s="41"/>
      <c r="AC31" s="60"/>
      <c r="AD31" s="65"/>
      <c r="AE31" s="65"/>
      <c r="AF31" s="70"/>
      <c r="AG31" s="70"/>
      <c r="AH31" s="70"/>
      <c r="AI31" s="69"/>
      <c r="AJ31" s="69"/>
      <c r="AK31" s="69"/>
      <c r="AL31" s="69"/>
      <c r="AM31" s="61"/>
      <c r="AN31" s="62"/>
      <c r="AO31" s="41"/>
      <c r="AP31" s="60"/>
      <c r="AQ31" s="65"/>
      <c r="AR31" s="65"/>
      <c r="AS31" s="70"/>
      <c r="AT31" s="70"/>
      <c r="AU31" s="70"/>
      <c r="AV31" s="69"/>
      <c r="AW31" s="69"/>
      <c r="AX31" s="69"/>
      <c r="AY31" s="69"/>
      <c r="AZ31" s="61"/>
      <c r="BA31" s="62"/>
      <c r="BB31" s="26"/>
      <c r="BC31" s="60"/>
      <c r="BD31" s="65"/>
      <c r="BE31" s="65"/>
      <c r="BF31" s="70"/>
      <c r="BG31" s="70"/>
      <c r="BH31" s="70"/>
      <c r="BI31" s="69"/>
      <c r="BJ31" s="69"/>
      <c r="BK31" s="69"/>
      <c r="BL31" s="69"/>
      <c r="BM31" s="61"/>
      <c r="BN31" s="62"/>
      <c r="BO31" s="26"/>
      <c r="BP31" s="60"/>
      <c r="BQ31" s="65"/>
      <c r="BR31" s="65"/>
      <c r="BS31" s="70"/>
      <c r="BT31" s="70"/>
      <c r="BU31" s="70"/>
      <c r="BV31" s="69"/>
      <c r="BW31" s="69"/>
      <c r="BX31" s="69"/>
      <c r="BY31" s="69"/>
      <c r="BZ31" s="61"/>
      <c r="CA31" s="62"/>
      <c r="CB31" s="26"/>
      <c r="CC31" s="26"/>
      <c r="CD31" s="26"/>
      <c r="CE31" s="26"/>
      <c r="CF31" s="26"/>
      <c r="CG31" s="26"/>
      <c r="CH31" s="26"/>
      <c r="CI31" s="26"/>
    </row>
    <row r="32" spans="1:87" ht="15.75" customHeight="1" x14ac:dyDescent="0.45">
      <c r="A32" s="134"/>
      <c r="B32" s="135"/>
      <c r="C32" s="135"/>
      <c r="D32" s="135"/>
      <c r="E32" s="136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60"/>
      <c r="Q32" s="65"/>
      <c r="R32" s="65"/>
      <c r="S32" s="70"/>
      <c r="T32" s="70"/>
      <c r="U32" s="70"/>
      <c r="V32" s="69"/>
      <c r="W32" s="69"/>
      <c r="X32" s="63"/>
      <c r="Y32" s="61"/>
      <c r="Z32" s="61"/>
      <c r="AA32" s="62"/>
      <c r="AB32" s="41"/>
      <c r="AC32" s="60"/>
      <c r="AD32" s="65"/>
      <c r="AE32" s="65"/>
      <c r="AF32" s="70"/>
      <c r="AG32" s="70"/>
      <c r="AH32" s="70"/>
      <c r="AI32" s="69"/>
      <c r="AJ32" s="69"/>
      <c r="AK32" s="69"/>
      <c r="AL32" s="69"/>
      <c r="AM32" s="61"/>
      <c r="AN32" s="62"/>
      <c r="AO32" s="41"/>
      <c r="AP32" s="60"/>
      <c r="AQ32" s="65"/>
      <c r="AR32" s="65"/>
      <c r="AS32" s="70"/>
      <c r="AT32" s="70"/>
      <c r="AU32" s="70"/>
      <c r="AV32" s="69"/>
      <c r="AW32" s="69"/>
      <c r="AX32" s="69"/>
      <c r="AY32" s="69"/>
      <c r="AZ32" s="61"/>
      <c r="BA32" s="62"/>
      <c r="BB32" s="26"/>
      <c r="BC32" s="60"/>
      <c r="BD32" s="65"/>
      <c r="BE32" s="65"/>
      <c r="BF32" s="70"/>
      <c r="BG32" s="70"/>
      <c r="BH32" s="70"/>
      <c r="BI32" s="69"/>
      <c r="BJ32" s="69"/>
      <c r="BK32" s="69"/>
      <c r="BL32" s="69"/>
      <c r="BM32" s="61"/>
      <c r="BN32" s="62"/>
      <c r="BO32" s="26"/>
      <c r="BP32" s="60"/>
      <c r="BQ32" s="65"/>
      <c r="BR32" s="65"/>
      <c r="BS32" s="70"/>
      <c r="BT32" s="70"/>
      <c r="BU32" s="70"/>
      <c r="BV32" s="69"/>
      <c r="BW32" s="69"/>
      <c r="BX32" s="69"/>
      <c r="BY32" s="69"/>
      <c r="BZ32" s="61"/>
      <c r="CA32" s="62"/>
      <c r="CB32" s="26"/>
      <c r="CC32" s="26"/>
      <c r="CD32" s="26"/>
      <c r="CE32" s="26"/>
      <c r="CF32" s="26"/>
      <c r="CG32" s="26"/>
      <c r="CH32" s="26"/>
      <c r="CI32" s="26"/>
    </row>
    <row r="33" spans="1:87" ht="16.5" customHeight="1" x14ac:dyDescent="0.45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7"/>
      <c r="M33" s="27"/>
      <c r="N33" s="27"/>
      <c r="O33" s="26"/>
      <c r="P33" s="60"/>
      <c r="Q33" s="65"/>
      <c r="R33" s="65"/>
      <c r="S33" s="70"/>
      <c r="T33" s="70"/>
      <c r="U33" s="70"/>
      <c r="V33" s="69"/>
      <c r="W33" s="69"/>
      <c r="X33" s="63"/>
      <c r="Y33" s="61"/>
      <c r="Z33" s="61"/>
      <c r="AA33" s="62"/>
      <c r="AB33" s="41"/>
      <c r="AC33" s="60"/>
      <c r="AD33" s="65"/>
      <c r="AE33" s="65"/>
      <c r="AF33" s="69"/>
      <c r="AG33" s="69"/>
      <c r="AH33" s="69"/>
      <c r="AI33" s="69"/>
      <c r="AJ33" s="69"/>
      <c r="AK33" s="69"/>
      <c r="AL33" s="69"/>
      <c r="AM33" s="61"/>
      <c r="AN33" s="62"/>
      <c r="AO33" s="41"/>
      <c r="AP33" s="60"/>
      <c r="AQ33" s="65"/>
      <c r="AR33" s="65"/>
      <c r="AS33" s="69"/>
      <c r="AT33" s="69"/>
      <c r="AU33" s="69"/>
      <c r="AV33" s="69"/>
      <c r="AW33" s="69"/>
      <c r="AX33" s="69"/>
      <c r="AY33" s="69"/>
      <c r="AZ33" s="61"/>
      <c r="BA33" s="62"/>
      <c r="BB33" s="26"/>
      <c r="BC33" s="60"/>
      <c r="BD33" s="65"/>
      <c r="BE33" s="65"/>
      <c r="BF33" s="69"/>
      <c r="BG33" s="69"/>
      <c r="BH33" s="69"/>
      <c r="BI33" s="69"/>
      <c r="BJ33" s="69"/>
      <c r="BK33" s="69"/>
      <c r="BL33" s="69"/>
      <c r="BM33" s="61"/>
      <c r="BN33" s="62"/>
      <c r="BO33" s="26"/>
      <c r="BP33" s="60"/>
      <c r="BQ33" s="65"/>
      <c r="BR33" s="65"/>
      <c r="BS33" s="69"/>
      <c r="BT33" s="69"/>
      <c r="BU33" s="69"/>
      <c r="BV33" s="69"/>
      <c r="BW33" s="69"/>
      <c r="BX33" s="69"/>
      <c r="BY33" s="69"/>
      <c r="BZ33" s="61"/>
      <c r="CA33" s="62"/>
      <c r="CB33" s="26"/>
      <c r="CC33" s="26"/>
      <c r="CD33" s="26"/>
      <c r="CE33" s="26"/>
      <c r="CF33" s="26"/>
      <c r="CG33" s="26"/>
      <c r="CH33" s="26"/>
      <c r="CI33" s="26"/>
    </row>
    <row r="34" spans="1:87" x14ac:dyDescent="0.4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7"/>
      <c r="M34" s="27"/>
      <c r="N34" s="27"/>
      <c r="O34" s="26"/>
      <c r="P34" s="60"/>
      <c r="Q34" s="65"/>
      <c r="R34" s="65"/>
      <c r="S34" s="69"/>
      <c r="T34" s="69"/>
      <c r="U34" s="69"/>
      <c r="V34" s="69"/>
      <c r="W34" s="69"/>
      <c r="X34" s="63"/>
      <c r="Y34" s="61"/>
      <c r="Z34" s="61"/>
      <c r="AA34" s="64"/>
      <c r="AB34" s="41"/>
      <c r="AC34" s="60"/>
      <c r="AD34" s="65"/>
      <c r="AE34" s="65"/>
      <c r="AF34" s="69"/>
      <c r="AG34" s="69"/>
      <c r="AH34" s="69"/>
      <c r="AI34" s="69"/>
      <c r="AJ34" s="69"/>
      <c r="AK34" s="69"/>
      <c r="AL34" s="69"/>
      <c r="AM34" s="61"/>
      <c r="AN34" s="62"/>
      <c r="AO34" s="41"/>
      <c r="AP34" s="60"/>
      <c r="AQ34" s="65"/>
      <c r="AR34" s="65"/>
      <c r="AS34" s="69"/>
      <c r="AT34" s="69"/>
      <c r="AU34" s="69"/>
      <c r="AV34" s="69"/>
      <c r="AW34" s="69"/>
      <c r="AX34" s="69"/>
      <c r="AY34" s="69"/>
      <c r="AZ34" s="61"/>
      <c r="BA34" s="62"/>
      <c r="BB34" s="26"/>
      <c r="BC34" s="60"/>
      <c r="BD34" s="65"/>
      <c r="BE34" s="65"/>
      <c r="BF34" s="69"/>
      <c r="BG34" s="69"/>
      <c r="BH34" s="69"/>
      <c r="BI34" s="69"/>
      <c r="BJ34" s="69"/>
      <c r="BK34" s="69"/>
      <c r="BL34" s="69"/>
      <c r="BM34" s="61"/>
      <c r="BN34" s="62"/>
      <c r="BO34" s="26"/>
      <c r="BP34" s="60"/>
      <c r="BQ34" s="65"/>
      <c r="BR34" s="65"/>
      <c r="BS34" s="69"/>
      <c r="BT34" s="69"/>
      <c r="BU34" s="69"/>
      <c r="BV34" s="69"/>
      <c r="BW34" s="69"/>
      <c r="BX34" s="69"/>
      <c r="BY34" s="69"/>
      <c r="BZ34" s="61"/>
      <c r="CA34" s="62"/>
      <c r="CB34" s="26"/>
      <c r="CC34" s="26"/>
      <c r="CD34" s="26"/>
      <c r="CE34" s="26"/>
      <c r="CF34" s="26"/>
      <c r="CG34" s="26"/>
      <c r="CH34" s="26"/>
      <c r="CI34" s="26"/>
    </row>
    <row r="35" spans="1:87" x14ac:dyDescent="0.4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7"/>
      <c r="M35" s="27"/>
      <c r="N35" s="27"/>
      <c r="O35" s="26"/>
      <c r="P35" s="60"/>
      <c r="Q35" s="65"/>
      <c r="R35" s="65"/>
      <c r="S35" s="69"/>
      <c r="T35" s="69"/>
      <c r="U35" s="69"/>
      <c r="V35" s="69"/>
      <c r="W35" s="69"/>
      <c r="X35" s="63"/>
      <c r="Y35" s="61"/>
      <c r="Z35" s="61"/>
      <c r="AA35" s="62"/>
      <c r="AB35" s="41"/>
      <c r="AC35" s="60"/>
      <c r="AD35" s="65"/>
      <c r="AE35" s="65"/>
      <c r="AF35" s="69"/>
      <c r="AG35" s="69"/>
      <c r="AH35" s="69"/>
      <c r="AI35" s="69"/>
      <c r="AJ35" s="69"/>
      <c r="AK35" s="65"/>
      <c r="AL35" s="65"/>
      <c r="AM35" s="61"/>
      <c r="AN35" s="62"/>
      <c r="AO35" s="41"/>
      <c r="AP35" s="60"/>
      <c r="AQ35" s="65"/>
      <c r="AR35" s="65"/>
      <c r="AS35" s="69"/>
      <c r="AT35" s="69"/>
      <c r="AU35" s="69"/>
      <c r="AV35" s="69"/>
      <c r="AW35" s="69"/>
      <c r="AX35" s="65"/>
      <c r="AY35" s="65"/>
      <c r="AZ35" s="61"/>
      <c r="BA35" s="62"/>
      <c r="BB35" s="26"/>
      <c r="BC35" s="60"/>
      <c r="BD35" s="65"/>
      <c r="BE35" s="65"/>
      <c r="BF35" s="69"/>
      <c r="BG35" s="69"/>
      <c r="BH35" s="69"/>
      <c r="BI35" s="69"/>
      <c r="BJ35" s="69"/>
      <c r="BK35" s="65"/>
      <c r="BL35" s="65"/>
      <c r="BM35" s="61"/>
      <c r="BN35" s="62"/>
      <c r="BO35" s="26"/>
      <c r="BP35" s="60"/>
      <c r="BQ35" s="65"/>
      <c r="BR35" s="65"/>
      <c r="BS35" s="69"/>
      <c r="BT35" s="69"/>
      <c r="BU35" s="69"/>
      <c r="BV35" s="69"/>
      <c r="BW35" s="69"/>
      <c r="BX35" s="65"/>
      <c r="BY35" s="65"/>
      <c r="BZ35" s="61"/>
      <c r="CA35" s="62"/>
      <c r="CB35" s="26"/>
      <c r="CC35" s="26"/>
      <c r="CD35" s="26"/>
      <c r="CE35" s="26"/>
      <c r="CF35" s="26"/>
      <c r="CG35" s="26"/>
      <c r="CH35" s="26"/>
      <c r="CI35" s="26"/>
    </row>
    <row r="36" spans="1:87" x14ac:dyDescent="0.4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7"/>
      <c r="M36" s="27"/>
      <c r="N36" s="27"/>
      <c r="O36" s="26"/>
      <c r="P36" s="60"/>
      <c r="Q36" s="65"/>
      <c r="R36" s="65"/>
      <c r="S36" s="69"/>
      <c r="T36" s="69"/>
      <c r="U36" s="69"/>
      <c r="V36" s="69"/>
      <c r="W36" s="69"/>
      <c r="X36" s="63"/>
      <c r="Y36" s="61"/>
      <c r="Z36" s="61"/>
      <c r="AA36" s="62"/>
      <c r="AB36" s="41"/>
      <c r="AC36" s="60"/>
      <c r="AD36" s="65"/>
      <c r="AE36" s="65"/>
      <c r="AF36" s="69"/>
      <c r="AG36" s="69"/>
      <c r="AH36" s="69"/>
      <c r="AI36" s="69"/>
      <c r="AJ36" s="69"/>
      <c r="AK36" s="65"/>
      <c r="AL36" s="65"/>
      <c r="AM36" s="61"/>
      <c r="AN36" s="64"/>
      <c r="AO36" s="41"/>
      <c r="AP36" s="60"/>
      <c r="AQ36" s="65"/>
      <c r="AR36" s="65"/>
      <c r="AS36" s="69"/>
      <c r="AT36" s="69"/>
      <c r="AU36" s="69"/>
      <c r="AV36" s="69"/>
      <c r="AW36" s="69"/>
      <c r="AX36" s="65"/>
      <c r="AY36" s="65"/>
      <c r="AZ36" s="61"/>
      <c r="BA36" s="64"/>
      <c r="BB36" s="26"/>
      <c r="BC36" s="60"/>
      <c r="BD36" s="65"/>
      <c r="BE36" s="65"/>
      <c r="BF36" s="69"/>
      <c r="BG36" s="69"/>
      <c r="BH36" s="69"/>
      <c r="BI36" s="69"/>
      <c r="BJ36" s="69"/>
      <c r="BK36" s="65"/>
      <c r="BL36" s="65"/>
      <c r="BM36" s="61"/>
      <c r="BN36" s="64"/>
      <c r="BO36" s="26"/>
      <c r="BP36" s="60"/>
      <c r="BQ36" s="65"/>
      <c r="BR36" s="65"/>
      <c r="BS36" s="69"/>
      <c r="BT36" s="69"/>
      <c r="BU36" s="69"/>
      <c r="BV36" s="69"/>
      <c r="BW36" s="69"/>
      <c r="BX36" s="65"/>
      <c r="BY36" s="65"/>
      <c r="BZ36" s="61"/>
      <c r="CA36" s="64"/>
      <c r="CB36" s="26"/>
      <c r="CC36" s="26"/>
      <c r="CD36" s="26"/>
      <c r="CE36" s="26"/>
      <c r="CF36" s="26"/>
      <c r="CG36" s="26"/>
      <c r="CH36" s="26"/>
      <c r="CI36" s="26"/>
    </row>
    <row r="37" spans="1:87" x14ac:dyDescent="0.4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7"/>
      <c r="M37" s="27"/>
      <c r="N37" s="27"/>
      <c r="O37" s="26"/>
      <c r="P37" s="60"/>
      <c r="Q37" s="65"/>
      <c r="R37" s="65"/>
      <c r="S37" s="69"/>
      <c r="T37" s="69"/>
      <c r="U37" s="69"/>
      <c r="V37" s="69"/>
      <c r="W37" s="69"/>
      <c r="X37" s="65"/>
      <c r="Y37" s="61"/>
      <c r="Z37" s="61"/>
      <c r="AA37" s="64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2"/>
      <c r="AM37" s="42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2"/>
      <c r="AZ37" s="42"/>
      <c r="BA37" s="26"/>
      <c r="BB37" s="26"/>
      <c r="BC37" s="41"/>
      <c r="BD37" s="41"/>
      <c r="BE37" s="41"/>
      <c r="BF37" s="41"/>
      <c r="BG37" s="41"/>
      <c r="BH37" s="41"/>
      <c r="BI37" s="41"/>
      <c r="BJ37" s="41"/>
      <c r="BK37" s="41"/>
      <c r="BL37" s="42"/>
      <c r="BM37" s="42"/>
      <c r="BN37" s="26"/>
      <c r="BO37" s="26"/>
      <c r="BP37" s="41"/>
      <c r="BQ37" s="41"/>
      <c r="BR37" s="41"/>
      <c r="BS37" s="41"/>
      <c r="BT37" s="41"/>
      <c r="BU37" s="41"/>
      <c r="BV37" s="41"/>
      <c r="BW37" s="41"/>
      <c r="BX37" s="41"/>
      <c r="BY37" s="42"/>
      <c r="BZ37" s="42"/>
      <c r="CA37" s="26"/>
      <c r="CB37" s="26"/>
      <c r="CC37" s="26"/>
      <c r="CD37" s="26"/>
      <c r="CE37" s="26"/>
      <c r="CF37" s="26"/>
      <c r="CG37" s="26"/>
      <c r="CH37" s="26"/>
      <c r="CI37" s="26"/>
    </row>
    <row r="38" spans="1:87" ht="19.899999999999999" x14ac:dyDescent="0.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7"/>
      <c r="M38" s="27"/>
      <c r="N38" s="27"/>
      <c r="O38" s="26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41"/>
      <c r="AO38" s="41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49"/>
      <c r="BA38" s="26"/>
      <c r="BB38" s="26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26"/>
      <c r="BO38" s="26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26"/>
      <c r="CB38" s="26"/>
      <c r="CC38" s="26"/>
      <c r="CD38" s="26"/>
      <c r="CE38" s="26"/>
      <c r="CF38" s="26"/>
      <c r="CG38" s="26"/>
      <c r="CH38" s="26"/>
      <c r="CI38" s="26"/>
    </row>
    <row r="39" spans="1:87" ht="19.899999999999999" x14ac:dyDescent="0.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7"/>
      <c r="M39" s="27"/>
      <c r="N39" s="27"/>
      <c r="O39" s="26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2"/>
      <c r="AM39" s="42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2"/>
      <c r="AZ39" s="42"/>
      <c r="BA39" s="26"/>
      <c r="BB39" s="26"/>
      <c r="BC39" s="41"/>
      <c r="BD39" s="41"/>
      <c r="BE39" s="41"/>
      <c r="BF39" s="41"/>
      <c r="BG39" s="41"/>
      <c r="BH39" s="41"/>
      <c r="BI39" s="41"/>
      <c r="BJ39" s="41"/>
      <c r="BK39" s="41"/>
      <c r="BL39" s="42"/>
      <c r="BM39" s="42"/>
      <c r="BN39" s="26"/>
      <c r="BO39" s="26"/>
      <c r="BP39" s="41"/>
      <c r="BQ39" s="41"/>
      <c r="BR39" s="41"/>
      <c r="BS39" s="41"/>
      <c r="BT39" s="41"/>
      <c r="BU39" s="41"/>
      <c r="BV39" s="41"/>
      <c r="BW39" s="41"/>
      <c r="BX39" s="41"/>
      <c r="BY39" s="42"/>
      <c r="BZ39" s="42"/>
      <c r="CA39" s="26"/>
      <c r="CB39" s="26"/>
      <c r="CC39" s="26"/>
      <c r="CD39" s="26"/>
      <c r="CE39" s="26"/>
      <c r="CF39" s="26"/>
      <c r="CG39" s="26"/>
      <c r="CH39" s="26"/>
      <c r="CI39" s="26"/>
    </row>
    <row r="40" spans="1:87" x14ac:dyDescent="0.4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7"/>
      <c r="M40" s="27"/>
      <c r="N40" s="27"/>
      <c r="O40" s="26"/>
      <c r="P40" s="44"/>
      <c r="Q40" s="44"/>
      <c r="R40" s="44"/>
      <c r="S40" s="44"/>
      <c r="T40" s="44"/>
      <c r="U40" s="44"/>
      <c r="V40" s="105"/>
      <c r="W40" s="105"/>
      <c r="X40" s="44"/>
      <c r="Y40" s="67"/>
      <c r="Z40" s="67"/>
      <c r="AA40" s="67"/>
      <c r="AB40" s="41"/>
      <c r="AC40" s="41"/>
      <c r="AD40" s="41"/>
      <c r="AE40" s="41"/>
      <c r="AF40" s="41"/>
      <c r="AG40" s="41"/>
      <c r="AH40" s="41"/>
      <c r="AI40" s="41"/>
      <c r="AJ40" s="44"/>
      <c r="AK40" s="44"/>
      <c r="AL40" s="44"/>
      <c r="AM40" s="47"/>
      <c r="AN40" s="47"/>
      <c r="AO40" s="41"/>
      <c r="AP40" s="41"/>
      <c r="AQ40" s="41"/>
      <c r="AR40" s="41"/>
      <c r="AS40" s="41"/>
      <c r="AT40" s="41"/>
      <c r="AU40" s="41"/>
      <c r="AV40" s="41"/>
      <c r="AW40" s="44"/>
      <c r="AX40" s="44"/>
      <c r="AY40" s="44"/>
      <c r="AZ40" s="47"/>
      <c r="BA40" s="47"/>
      <c r="BB40" s="26"/>
      <c r="BC40" s="41"/>
      <c r="BD40" s="41"/>
      <c r="BE40" s="41"/>
      <c r="BF40" s="41"/>
      <c r="BG40" s="41"/>
      <c r="BH40" s="41"/>
      <c r="BI40" s="41"/>
      <c r="BJ40" s="44"/>
      <c r="BK40" s="44"/>
      <c r="BL40" s="44"/>
      <c r="BM40" s="47"/>
      <c r="BN40" s="47"/>
      <c r="BO40" s="26"/>
      <c r="BP40" s="41"/>
      <c r="BQ40" s="41"/>
      <c r="BR40" s="41"/>
      <c r="BS40" s="41"/>
      <c r="BT40" s="41"/>
      <c r="BU40" s="41"/>
      <c r="BV40" s="41"/>
      <c r="BW40" s="44"/>
      <c r="BX40" s="44"/>
      <c r="BY40" s="44"/>
      <c r="BZ40" s="47"/>
      <c r="CA40" s="47"/>
      <c r="CB40" s="26"/>
      <c r="CC40" s="26"/>
      <c r="CD40" s="26"/>
      <c r="CE40" s="26"/>
      <c r="CF40" s="26"/>
      <c r="CG40" s="26"/>
      <c r="CH40" s="26"/>
      <c r="CI40" s="26"/>
    </row>
    <row r="41" spans="1:87" x14ac:dyDescent="0.4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7"/>
      <c r="M41" s="27"/>
      <c r="N41" s="27"/>
      <c r="O41" s="26"/>
      <c r="P41" s="65"/>
      <c r="Q41" s="65"/>
      <c r="R41" s="65"/>
      <c r="S41" s="69"/>
      <c r="T41" s="69"/>
      <c r="U41" s="69"/>
      <c r="V41" s="63"/>
      <c r="W41" s="63"/>
      <c r="X41" s="63"/>
      <c r="Y41" s="61"/>
      <c r="Z41" s="61"/>
      <c r="AA41" s="62"/>
      <c r="AB41" s="41"/>
      <c r="AC41" s="41"/>
      <c r="AD41" s="41"/>
      <c r="AE41" s="41"/>
      <c r="AF41" s="41"/>
      <c r="AG41" s="41"/>
      <c r="AH41" s="41"/>
      <c r="AI41" s="41"/>
      <c r="AJ41" s="44"/>
      <c r="AK41" s="44"/>
      <c r="AL41" s="44"/>
      <c r="AM41" s="47"/>
      <c r="AN41" s="47"/>
      <c r="AO41" s="41"/>
      <c r="AP41" s="41"/>
      <c r="AQ41" s="41"/>
      <c r="AR41" s="41"/>
      <c r="AS41" s="41"/>
      <c r="AT41" s="41"/>
      <c r="AU41" s="41"/>
      <c r="AV41" s="41"/>
      <c r="AW41" s="44"/>
      <c r="AX41" s="44"/>
      <c r="AY41" s="44"/>
      <c r="AZ41" s="47"/>
      <c r="BA41" s="47"/>
      <c r="BB41" s="26"/>
      <c r="BC41" s="41"/>
      <c r="BD41" s="41"/>
      <c r="BE41" s="41"/>
      <c r="BF41" s="41"/>
      <c r="BG41" s="41"/>
      <c r="BH41" s="41"/>
      <c r="BI41" s="41"/>
      <c r="BJ41" s="44"/>
      <c r="BK41" s="44"/>
      <c r="BL41" s="44"/>
      <c r="BM41" s="47"/>
      <c r="BN41" s="47"/>
      <c r="BO41" s="26"/>
      <c r="BP41" s="41"/>
      <c r="BQ41" s="41"/>
      <c r="BR41" s="41"/>
      <c r="BS41" s="41"/>
      <c r="BT41" s="41"/>
      <c r="BU41" s="41"/>
      <c r="BV41" s="41"/>
      <c r="BW41" s="44"/>
      <c r="BX41" s="44"/>
      <c r="BY41" s="44"/>
      <c r="BZ41" s="47"/>
      <c r="CA41" s="47"/>
      <c r="CB41" s="26"/>
      <c r="CC41" s="26"/>
      <c r="CD41" s="26"/>
      <c r="CE41" s="26"/>
      <c r="CF41" s="26"/>
      <c r="CG41" s="26"/>
      <c r="CH41" s="26"/>
      <c r="CI41" s="26"/>
    </row>
    <row r="42" spans="1:87" x14ac:dyDescent="0.45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7"/>
      <c r="M42" s="27"/>
      <c r="N42" s="27"/>
      <c r="O42" s="26"/>
      <c r="P42" s="65"/>
      <c r="Q42" s="65"/>
      <c r="R42" s="65"/>
      <c r="S42" s="69"/>
      <c r="T42" s="69"/>
      <c r="U42" s="69"/>
      <c r="V42" s="63"/>
      <c r="W42" s="63"/>
      <c r="X42" s="63"/>
      <c r="Y42" s="61"/>
      <c r="Z42" s="61"/>
      <c r="AA42" s="62"/>
      <c r="AB42" s="41"/>
      <c r="AC42" s="41"/>
      <c r="AD42" s="41"/>
      <c r="AE42" s="41"/>
      <c r="AF42" s="41"/>
      <c r="AG42" s="41"/>
      <c r="AH42" s="41"/>
      <c r="AI42" s="41"/>
      <c r="AJ42" s="44"/>
      <c r="AK42" s="44"/>
      <c r="AL42" s="44"/>
      <c r="AM42" s="47"/>
      <c r="AN42" s="47"/>
      <c r="AO42" s="41"/>
      <c r="AP42" s="41"/>
      <c r="AQ42" s="41"/>
      <c r="AR42" s="41"/>
      <c r="AS42" s="41"/>
      <c r="AT42" s="41"/>
      <c r="AU42" s="41"/>
      <c r="AV42" s="41"/>
      <c r="AW42" s="44"/>
      <c r="AX42" s="44"/>
      <c r="AY42" s="44"/>
      <c r="AZ42" s="47"/>
      <c r="BA42" s="47"/>
      <c r="BB42" s="26"/>
      <c r="BC42" s="41"/>
      <c r="BD42" s="41"/>
      <c r="BE42" s="41"/>
      <c r="BF42" s="41"/>
      <c r="BG42" s="41"/>
      <c r="BH42" s="41"/>
      <c r="BI42" s="41"/>
      <c r="BJ42" s="44"/>
      <c r="BK42" s="44"/>
      <c r="BL42" s="44"/>
      <c r="BM42" s="47"/>
      <c r="BN42" s="47"/>
      <c r="BO42" s="26"/>
      <c r="BP42" s="41"/>
      <c r="BQ42" s="41"/>
      <c r="BR42" s="41"/>
      <c r="BS42" s="41"/>
      <c r="BT42" s="41"/>
      <c r="BU42" s="41"/>
      <c r="BV42" s="41"/>
      <c r="BW42" s="44"/>
      <c r="BX42" s="44"/>
      <c r="BY42" s="44"/>
      <c r="BZ42" s="47"/>
      <c r="CA42" s="47"/>
      <c r="CB42" s="26"/>
      <c r="CC42" s="26"/>
      <c r="CD42" s="26"/>
      <c r="CE42" s="26"/>
      <c r="CF42" s="26"/>
      <c r="CG42" s="26"/>
      <c r="CH42" s="26"/>
      <c r="CI42" s="26"/>
    </row>
    <row r="43" spans="1:87" x14ac:dyDescent="0.45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7"/>
      <c r="M43" s="27"/>
      <c r="N43" s="27"/>
      <c r="O43" s="26"/>
      <c r="P43" s="65"/>
      <c r="Q43" s="65"/>
      <c r="R43" s="65"/>
      <c r="S43" s="69"/>
      <c r="T43" s="69"/>
      <c r="U43" s="69"/>
      <c r="V43" s="63"/>
      <c r="W43" s="63"/>
      <c r="X43" s="63"/>
      <c r="Y43" s="61"/>
      <c r="Z43" s="61"/>
      <c r="AA43" s="62"/>
      <c r="AB43" s="41"/>
      <c r="AC43" s="41"/>
      <c r="AD43" s="41"/>
      <c r="AE43" s="41"/>
      <c r="AF43" s="41"/>
      <c r="AG43" s="41"/>
      <c r="AH43" s="41"/>
      <c r="AI43" s="41"/>
      <c r="AJ43" s="44"/>
      <c r="AK43" s="44"/>
      <c r="AL43" s="44"/>
      <c r="AM43" s="47"/>
      <c r="AN43" s="47"/>
      <c r="AO43" s="41"/>
      <c r="AP43" s="41"/>
      <c r="AQ43" s="41"/>
      <c r="AR43" s="41"/>
      <c r="AS43" s="41"/>
      <c r="AT43" s="41"/>
      <c r="AU43" s="41"/>
      <c r="AV43" s="41"/>
      <c r="AW43" s="44"/>
      <c r="AX43" s="44"/>
      <c r="AY43" s="44"/>
      <c r="AZ43" s="47"/>
      <c r="BA43" s="47"/>
      <c r="BB43" s="26"/>
      <c r="BC43" s="41"/>
      <c r="BD43" s="41"/>
      <c r="BE43" s="41"/>
      <c r="BF43" s="41"/>
      <c r="BG43" s="41"/>
      <c r="BH43" s="41"/>
      <c r="BI43" s="41"/>
      <c r="BJ43" s="44"/>
      <c r="BK43" s="44"/>
      <c r="BL43" s="44"/>
      <c r="BM43" s="47"/>
      <c r="BN43" s="47"/>
      <c r="BO43" s="26"/>
      <c r="BP43" s="41"/>
      <c r="BQ43" s="41"/>
      <c r="BR43" s="41"/>
      <c r="BS43" s="41"/>
      <c r="BT43" s="41"/>
      <c r="BU43" s="41"/>
      <c r="BV43" s="41"/>
      <c r="BW43" s="44"/>
      <c r="BX43" s="44"/>
      <c r="BY43" s="44"/>
      <c r="BZ43" s="47"/>
      <c r="CA43" s="47"/>
      <c r="CB43" s="26"/>
      <c r="CC43" s="26"/>
      <c r="CD43" s="26"/>
      <c r="CE43" s="26"/>
      <c r="CF43" s="26"/>
      <c r="CG43" s="26"/>
      <c r="CH43" s="26"/>
      <c r="CI43" s="26"/>
    </row>
    <row r="44" spans="1:87" x14ac:dyDescent="0.45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7"/>
      <c r="M44" s="27"/>
      <c r="N44" s="27"/>
      <c r="O44" s="26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4"/>
      <c r="AK44" s="44"/>
      <c r="AL44" s="44"/>
      <c r="AM44" s="46"/>
      <c r="AN44" s="41"/>
      <c r="AO44" s="41"/>
      <c r="AP44" s="41"/>
      <c r="AQ44" s="41"/>
      <c r="AR44" s="41"/>
      <c r="AS44" s="41"/>
      <c r="AT44" s="41"/>
      <c r="AU44" s="41"/>
      <c r="AV44" s="41"/>
      <c r="AW44" s="44"/>
      <c r="AX44" s="44"/>
      <c r="AY44" s="44"/>
      <c r="AZ44" s="46"/>
      <c r="BA44" s="26"/>
      <c r="BB44" s="26"/>
      <c r="BC44" s="41"/>
      <c r="BD44" s="41"/>
      <c r="BE44" s="41"/>
      <c r="BF44" s="41"/>
      <c r="BG44" s="41"/>
      <c r="BH44" s="41"/>
      <c r="BI44" s="41"/>
      <c r="BJ44" s="44"/>
      <c r="BK44" s="44"/>
      <c r="BL44" s="44"/>
      <c r="BM44" s="46"/>
      <c r="BN44" s="26"/>
      <c r="BO44" s="26"/>
      <c r="BP44" s="41"/>
      <c r="BQ44" s="41"/>
      <c r="BR44" s="41"/>
      <c r="BS44" s="41"/>
      <c r="BT44" s="41"/>
      <c r="BU44" s="41"/>
      <c r="BV44" s="41"/>
      <c r="BW44" s="44"/>
      <c r="BX44" s="44"/>
      <c r="BY44" s="44"/>
      <c r="BZ44" s="46"/>
      <c r="CA44" s="26"/>
      <c r="CB44" s="26"/>
      <c r="CC44" s="26"/>
      <c r="CD44" s="26"/>
      <c r="CE44" s="26"/>
      <c r="CF44" s="26"/>
      <c r="CG44" s="26"/>
      <c r="CH44" s="26"/>
      <c r="CI44" s="26"/>
    </row>
    <row r="45" spans="1:87" x14ac:dyDescent="0.45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7"/>
      <c r="M45" s="27"/>
      <c r="N45" s="27"/>
      <c r="O45" s="26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26"/>
      <c r="BA45" s="26"/>
      <c r="BB45" s="26"/>
      <c r="BC45" s="41"/>
      <c r="BD45" s="41"/>
      <c r="BE45" s="41"/>
      <c r="BF45" s="41"/>
      <c r="BG45" s="41"/>
      <c r="BH45" s="41"/>
      <c r="BI45" s="41"/>
      <c r="BJ45" s="26"/>
      <c r="BK45" s="26"/>
      <c r="BL45" s="26"/>
      <c r="BM45" s="26"/>
      <c r="BN45" s="26"/>
      <c r="BO45" s="26"/>
      <c r="BP45" s="41"/>
      <c r="BQ45" s="41"/>
      <c r="BR45" s="41"/>
      <c r="BS45" s="41"/>
      <c r="BT45" s="41"/>
      <c r="BU45" s="41"/>
      <c r="BV45" s="41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</row>
    <row r="46" spans="1:87" ht="19.899999999999999" x14ac:dyDescent="0.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7"/>
      <c r="M46" s="27"/>
      <c r="N46" s="27"/>
      <c r="O46" s="26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26"/>
      <c r="BA46" s="26"/>
      <c r="BB46" s="26"/>
      <c r="BC46" s="41"/>
      <c r="BD46" s="41"/>
      <c r="BE46" s="41"/>
      <c r="BF46" s="41"/>
      <c r="BG46" s="41"/>
      <c r="BH46" s="41"/>
      <c r="BI46" s="41"/>
      <c r="BJ46" s="26"/>
      <c r="BK46" s="26"/>
      <c r="BL46" s="26"/>
      <c r="BM46" s="26"/>
      <c r="BN46" s="26"/>
      <c r="BO46" s="26"/>
      <c r="BP46" s="41"/>
      <c r="BQ46" s="41"/>
      <c r="BR46" s="41"/>
      <c r="BS46" s="41"/>
      <c r="BT46" s="41"/>
      <c r="BU46" s="41"/>
      <c r="BV46" s="41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</row>
    <row r="47" spans="1:87" x14ac:dyDescent="0.45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7"/>
      <c r="M47" s="27"/>
      <c r="N47" s="27"/>
      <c r="O47" s="26"/>
      <c r="P47" s="41"/>
      <c r="Q47" s="41"/>
      <c r="R47" s="41"/>
      <c r="S47" s="41"/>
      <c r="T47" s="41"/>
      <c r="U47" s="41"/>
      <c r="V47" s="41"/>
      <c r="W47" s="41"/>
      <c r="X47" s="41"/>
      <c r="Y47" s="42"/>
      <c r="Z47" s="42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26"/>
      <c r="BA47" s="26"/>
      <c r="BB47" s="26"/>
      <c r="BC47" s="41"/>
      <c r="BD47" s="41"/>
      <c r="BE47" s="41"/>
      <c r="BF47" s="41"/>
      <c r="BG47" s="41"/>
      <c r="BH47" s="41"/>
      <c r="BI47" s="41"/>
      <c r="BJ47" s="26"/>
      <c r="BK47" s="26"/>
      <c r="BL47" s="26"/>
      <c r="BM47" s="26"/>
      <c r="BN47" s="26"/>
      <c r="BO47" s="26"/>
      <c r="BP47" s="41"/>
      <c r="BQ47" s="41"/>
      <c r="BR47" s="41"/>
      <c r="BS47" s="41"/>
      <c r="BT47" s="41"/>
      <c r="BU47" s="41"/>
      <c r="BV47" s="41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</row>
    <row r="48" spans="1:87" x14ac:dyDescent="0.45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7"/>
      <c r="M48" s="27"/>
      <c r="N48" s="27"/>
      <c r="O48" s="26"/>
      <c r="P48" s="41"/>
      <c r="Q48" s="41"/>
      <c r="R48" s="41"/>
      <c r="S48" s="41"/>
      <c r="T48" s="41"/>
      <c r="U48" s="41"/>
      <c r="V48" s="41"/>
      <c r="W48" s="66"/>
      <c r="X48" s="66"/>
      <c r="Y48" s="66"/>
      <c r="Z48" s="67"/>
      <c r="AA48" s="67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2"/>
      <c r="AM48" s="42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2"/>
      <c r="AZ48" s="42"/>
      <c r="BA48" s="26"/>
      <c r="BB48" s="26"/>
      <c r="BC48" s="41"/>
      <c r="BD48" s="41"/>
      <c r="BE48" s="41"/>
      <c r="BF48" s="41"/>
      <c r="BG48" s="41"/>
      <c r="BH48" s="41"/>
      <c r="BI48" s="41"/>
      <c r="BJ48" s="41"/>
      <c r="BK48" s="41"/>
      <c r="BL48" s="42"/>
      <c r="BM48" s="42"/>
      <c r="BN48" s="26"/>
      <c r="BO48" s="26"/>
      <c r="BP48" s="41"/>
      <c r="BQ48" s="41"/>
      <c r="BR48" s="41"/>
      <c r="BS48" s="41"/>
      <c r="BT48" s="41"/>
      <c r="BU48" s="41"/>
      <c r="BV48" s="41"/>
      <c r="BW48" s="41"/>
      <c r="BX48" s="41"/>
      <c r="BY48" s="42"/>
      <c r="BZ48" s="42"/>
      <c r="CA48" s="26"/>
      <c r="CB48" s="26"/>
      <c r="CC48" s="26"/>
      <c r="CD48" s="26"/>
      <c r="CE48" s="26"/>
      <c r="CF48" s="26"/>
      <c r="CG48" s="26"/>
      <c r="CH48" s="26"/>
      <c r="CI48" s="26"/>
    </row>
    <row r="49" spans="1:87" x14ac:dyDescent="0.45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7"/>
      <c r="M49" s="27"/>
      <c r="N49" s="27"/>
      <c r="O49" s="26"/>
      <c r="P49" s="41"/>
      <c r="Q49" s="41"/>
      <c r="R49" s="41"/>
      <c r="S49" s="41"/>
      <c r="T49" s="41"/>
      <c r="U49" s="41"/>
      <c r="V49" s="41"/>
      <c r="W49" s="66"/>
      <c r="X49" s="66"/>
      <c r="Y49" s="66"/>
      <c r="Z49" s="67"/>
      <c r="AA49" s="67"/>
      <c r="AB49" s="41"/>
      <c r="AC49" s="41"/>
      <c r="AD49" s="41"/>
      <c r="AE49" s="41"/>
      <c r="AF49" s="41"/>
      <c r="AG49" s="41"/>
      <c r="AH49" s="41"/>
      <c r="AI49" s="41"/>
      <c r="AJ49" s="44"/>
      <c r="AK49" s="44"/>
      <c r="AL49" s="44"/>
      <c r="AM49" s="44"/>
      <c r="AN49" s="45"/>
      <c r="AO49" s="41"/>
      <c r="AP49" s="41"/>
      <c r="AQ49" s="41"/>
      <c r="AR49" s="41"/>
      <c r="AS49" s="41"/>
      <c r="AT49" s="41"/>
      <c r="AU49" s="41"/>
      <c r="AV49" s="41"/>
      <c r="AW49" s="44"/>
      <c r="AX49" s="44"/>
      <c r="AY49" s="44"/>
      <c r="AZ49" s="44"/>
      <c r="BA49" s="45"/>
      <c r="BB49" s="26"/>
      <c r="BC49" s="41"/>
      <c r="BD49" s="41"/>
      <c r="BE49" s="41"/>
      <c r="BF49" s="41"/>
      <c r="BG49" s="41"/>
      <c r="BH49" s="41"/>
      <c r="BI49" s="41"/>
      <c r="BJ49" s="44"/>
      <c r="BK49" s="44"/>
      <c r="BL49" s="44"/>
      <c r="BM49" s="44"/>
      <c r="BN49" s="45"/>
      <c r="BO49" s="26"/>
      <c r="BP49" s="41"/>
      <c r="BQ49" s="41"/>
      <c r="BR49" s="41"/>
      <c r="BS49" s="41"/>
      <c r="BT49" s="41"/>
      <c r="BU49" s="41"/>
      <c r="BV49" s="41"/>
      <c r="BW49" s="44"/>
      <c r="BX49" s="44"/>
      <c r="BY49" s="44"/>
      <c r="BZ49" s="44"/>
      <c r="CA49" s="45"/>
      <c r="CB49" s="26"/>
      <c r="CC49" s="26"/>
      <c r="CD49" s="26"/>
      <c r="CE49" s="26"/>
      <c r="CF49" s="26"/>
      <c r="CG49" s="26"/>
      <c r="CH49" s="26"/>
      <c r="CI49" s="26"/>
    </row>
    <row r="50" spans="1:87" x14ac:dyDescent="0.45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7"/>
      <c r="M50" s="27"/>
      <c r="N50" s="27"/>
      <c r="O50" s="26"/>
      <c r="P50" s="41"/>
      <c r="Q50" s="41"/>
      <c r="R50" s="41"/>
      <c r="S50" s="41"/>
      <c r="T50" s="41"/>
      <c r="U50" s="41"/>
      <c r="V50" s="41"/>
      <c r="W50" s="66"/>
      <c r="X50" s="66"/>
      <c r="Y50" s="66"/>
      <c r="Z50" s="67"/>
      <c r="AA50" s="67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2"/>
      <c r="AM50" s="42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2"/>
      <c r="AZ50" s="42"/>
      <c r="BA50" s="26"/>
      <c r="BB50" s="26"/>
      <c r="BC50" s="41"/>
      <c r="BD50" s="41"/>
      <c r="BE50" s="41"/>
      <c r="BF50" s="41"/>
      <c r="BG50" s="41"/>
      <c r="BH50" s="41"/>
      <c r="BI50" s="41"/>
      <c r="BJ50" s="41"/>
      <c r="BK50" s="41"/>
      <c r="BL50" s="42"/>
      <c r="BM50" s="42"/>
      <c r="BN50" s="26"/>
      <c r="BO50" s="26"/>
      <c r="BP50" s="41"/>
      <c r="BQ50" s="41"/>
      <c r="BR50" s="41"/>
      <c r="BS50" s="41"/>
      <c r="BT50" s="41"/>
      <c r="BU50" s="41"/>
      <c r="BV50" s="41"/>
      <c r="BW50" s="41"/>
      <c r="BX50" s="41"/>
      <c r="BY50" s="42"/>
      <c r="BZ50" s="42"/>
      <c r="CA50" s="26"/>
      <c r="CB50" s="26"/>
      <c r="CC50" s="26"/>
      <c r="CD50" s="26"/>
      <c r="CE50" s="26"/>
      <c r="CF50" s="26"/>
      <c r="CG50" s="26"/>
      <c r="CH50" s="26"/>
      <c r="CI50" s="26"/>
    </row>
    <row r="51" spans="1:87" x14ac:dyDescent="0.45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7"/>
      <c r="M51" s="27"/>
      <c r="N51" s="27"/>
      <c r="O51" s="26"/>
      <c r="P51" s="41"/>
      <c r="Q51" s="41"/>
      <c r="R51" s="41"/>
      <c r="S51" s="41"/>
      <c r="T51" s="41"/>
      <c r="U51" s="41"/>
      <c r="V51" s="41"/>
      <c r="W51" s="66"/>
      <c r="X51" s="66"/>
      <c r="Y51" s="66"/>
      <c r="Z51" s="67"/>
      <c r="AA51" s="67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2"/>
      <c r="AM51" s="42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2"/>
      <c r="AZ51" s="42"/>
      <c r="BA51" s="26"/>
      <c r="BB51" s="26"/>
      <c r="BC51" s="41"/>
      <c r="BD51" s="41"/>
      <c r="BE51" s="41"/>
      <c r="BF51" s="41"/>
      <c r="BG51" s="41"/>
      <c r="BH51" s="41"/>
      <c r="BI51" s="41"/>
      <c r="BJ51" s="41"/>
      <c r="BK51" s="41"/>
      <c r="BL51" s="42"/>
      <c r="BM51" s="42"/>
      <c r="BN51" s="26"/>
      <c r="BO51" s="26"/>
      <c r="BP51" s="41"/>
      <c r="BQ51" s="41"/>
      <c r="BR51" s="41"/>
      <c r="BS51" s="41"/>
      <c r="BT51" s="41"/>
      <c r="BU51" s="41"/>
      <c r="BV51" s="41"/>
      <c r="BW51" s="41"/>
      <c r="BX51" s="41"/>
      <c r="BY51" s="42"/>
      <c r="BZ51" s="42"/>
      <c r="CA51" s="26"/>
      <c r="CB51" s="26"/>
      <c r="CC51" s="26"/>
      <c r="CD51" s="26"/>
      <c r="CE51" s="26"/>
      <c r="CF51" s="26"/>
      <c r="CG51" s="26"/>
      <c r="CH51" s="26"/>
      <c r="CI51" s="26"/>
    </row>
    <row r="52" spans="1:87" x14ac:dyDescent="0.45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7"/>
      <c r="M52" s="27"/>
      <c r="N52" s="27"/>
      <c r="O52" s="26"/>
      <c r="P52" s="41"/>
      <c r="Q52" s="41"/>
      <c r="R52" s="41"/>
      <c r="S52" s="41"/>
      <c r="T52" s="41"/>
      <c r="U52" s="41"/>
      <c r="V52" s="41"/>
      <c r="W52" s="44"/>
      <c r="X52" s="44"/>
      <c r="Y52" s="44"/>
      <c r="Z52" s="46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2"/>
      <c r="AM52" s="42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2"/>
      <c r="AZ52" s="42"/>
      <c r="BA52" s="26"/>
      <c r="BB52" s="26"/>
      <c r="BC52" s="41"/>
      <c r="BD52" s="41"/>
      <c r="BE52" s="41"/>
      <c r="BF52" s="41"/>
      <c r="BG52" s="41"/>
      <c r="BH52" s="41"/>
      <c r="BI52" s="41"/>
      <c r="BJ52" s="41"/>
      <c r="BK52" s="41"/>
      <c r="BL52" s="42"/>
      <c r="BM52" s="42"/>
      <c r="BN52" s="26"/>
      <c r="BO52" s="26"/>
      <c r="BP52" s="41"/>
      <c r="BQ52" s="41"/>
      <c r="BR52" s="41"/>
      <c r="BS52" s="41"/>
      <c r="BT52" s="41"/>
      <c r="BU52" s="41"/>
      <c r="BV52" s="41"/>
      <c r="BW52" s="41"/>
      <c r="BX52" s="41"/>
      <c r="BY52" s="42"/>
      <c r="BZ52" s="42"/>
      <c r="CA52" s="26"/>
      <c r="CB52" s="26"/>
      <c r="CC52" s="26"/>
      <c r="CD52" s="26"/>
      <c r="CE52" s="26"/>
      <c r="CF52" s="26"/>
      <c r="CG52" s="26"/>
      <c r="CH52" s="26"/>
      <c r="CI52" s="26"/>
    </row>
    <row r="53" spans="1:87" x14ac:dyDescent="0.45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7"/>
      <c r="M53" s="27"/>
      <c r="N53" s="27"/>
      <c r="O53" s="26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2"/>
      <c r="AM53" s="42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2"/>
      <c r="AZ53" s="42"/>
      <c r="BA53" s="26"/>
      <c r="BB53" s="26"/>
      <c r="BC53" s="41"/>
      <c r="BD53" s="41"/>
      <c r="BE53" s="41"/>
      <c r="BF53" s="41"/>
      <c r="BG53" s="41"/>
      <c r="BH53" s="41"/>
      <c r="BI53" s="41"/>
      <c r="BJ53" s="41"/>
      <c r="BK53" s="41"/>
      <c r="BL53" s="42"/>
      <c r="BM53" s="42"/>
      <c r="BN53" s="26"/>
      <c r="BO53" s="26"/>
      <c r="BP53" s="41"/>
      <c r="BQ53" s="41"/>
      <c r="BR53" s="41"/>
      <c r="BS53" s="41"/>
      <c r="BT53" s="41"/>
      <c r="BU53" s="41"/>
      <c r="BV53" s="41"/>
      <c r="BW53" s="41"/>
      <c r="BX53" s="41"/>
      <c r="BY53" s="42"/>
      <c r="BZ53" s="42"/>
      <c r="CA53" s="26"/>
      <c r="CB53" s="26"/>
      <c r="CC53" s="26"/>
      <c r="CD53" s="26"/>
      <c r="CE53" s="26"/>
      <c r="CF53" s="26"/>
      <c r="CG53" s="26"/>
      <c r="CH53" s="26"/>
      <c r="CI53" s="26"/>
    </row>
    <row r="54" spans="1:87" x14ac:dyDescent="0.45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7"/>
      <c r="M54" s="27"/>
      <c r="N54" s="27"/>
      <c r="O54" s="26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2"/>
      <c r="AM54" s="42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2"/>
      <c r="AZ54" s="42"/>
      <c r="BA54" s="26"/>
      <c r="BB54" s="26"/>
      <c r="BC54" s="41"/>
      <c r="BD54" s="41"/>
      <c r="BE54" s="41"/>
      <c r="BF54" s="41"/>
      <c r="BG54" s="41"/>
      <c r="BH54" s="41"/>
      <c r="BI54" s="41"/>
      <c r="BJ54" s="41"/>
      <c r="BK54" s="41"/>
      <c r="BL54" s="42"/>
      <c r="BM54" s="42"/>
      <c r="BN54" s="26"/>
      <c r="BO54" s="26"/>
      <c r="BP54" s="41"/>
      <c r="BQ54" s="41"/>
      <c r="BR54" s="41"/>
      <c r="BS54" s="41"/>
      <c r="BT54" s="41"/>
      <c r="BU54" s="41"/>
      <c r="BV54" s="41"/>
      <c r="BW54" s="41"/>
      <c r="BX54" s="41"/>
      <c r="BY54" s="42"/>
      <c r="BZ54" s="42"/>
      <c r="CA54" s="26"/>
      <c r="CB54" s="26"/>
      <c r="CC54" s="26"/>
      <c r="CD54" s="26"/>
      <c r="CE54" s="26"/>
      <c r="CF54" s="26"/>
      <c r="CG54" s="26"/>
      <c r="CH54" s="26"/>
      <c r="CI54" s="26"/>
    </row>
    <row r="55" spans="1:87" x14ac:dyDescent="0.45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7"/>
      <c r="M55" s="27"/>
      <c r="N55" s="27"/>
      <c r="O55" s="26"/>
      <c r="P55" s="41"/>
      <c r="Q55" s="41"/>
      <c r="R55" s="41"/>
      <c r="S55" s="41"/>
      <c r="T55" s="41"/>
      <c r="U55" s="41"/>
      <c r="V55" s="41"/>
      <c r="W55" s="44"/>
      <c r="X55" s="44"/>
      <c r="Y55" s="44"/>
      <c r="Z55" s="44"/>
      <c r="AA55" s="45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2"/>
      <c r="AM55" s="42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2"/>
      <c r="AZ55" s="42"/>
      <c r="BA55" s="26"/>
      <c r="BB55" s="26"/>
      <c r="BC55" s="41"/>
      <c r="BD55" s="41"/>
      <c r="BE55" s="41"/>
      <c r="BF55" s="41"/>
      <c r="BG55" s="41"/>
      <c r="BH55" s="41"/>
      <c r="BI55" s="41"/>
      <c r="BJ55" s="41"/>
      <c r="BK55" s="41"/>
      <c r="BL55" s="42"/>
      <c r="BM55" s="42"/>
      <c r="BN55" s="26"/>
      <c r="BO55" s="26"/>
      <c r="BP55" s="41"/>
      <c r="BQ55" s="41"/>
      <c r="BR55" s="41"/>
      <c r="BS55" s="41"/>
      <c r="BT55" s="41"/>
      <c r="BU55" s="41"/>
      <c r="BV55" s="41"/>
      <c r="BW55" s="41"/>
      <c r="BX55" s="41"/>
      <c r="BY55" s="42"/>
      <c r="BZ55" s="42"/>
      <c r="CA55" s="26"/>
      <c r="CB55" s="26"/>
      <c r="CC55" s="26"/>
      <c r="CD55" s="26"/>
      <c r="CE55" s="26"/>
      <c r="CF55" s="26"/>
      <c r="CG55" s="26"/>
      <c r="CH55" s="26"/>
      <c r="CI55" s="26"/>
    </row>
    <row r="56" spans="1:87" ht="16.5" customHeight="1" x14ac:dyDescent="0.45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7"/>
      <c r="M56" s="27"/>
      <c r="N56" s="27"/>
      <c r="O56" s="26"/>
      <c r="P56" s="41"/>
      <c r="Q56" s="41"/>
      <c r="R56" s="41"/>
      <c r="S56" s="41"/>
      <c r="T56" s="41"/>
      <c r="U56" s="41"/>
      <c r="V56" s="41"/>
      <c r="W56" s="41"/>
      <c r="X56" s="41"/>
      <c r="Y56" s="42"/>
      <c r="Z56" s="42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2"/>
      <c r="AM56" s="42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2"/>
      <c r="AZ56" s="27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7"/>
      <c r="BM56" s="27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7"/>
      <c r="BZ56" s="27"/>
      <c r="CA56" s="26"/>
      <c r="CB56" s="26"/>
      <c r="CC56" s="26"/>
      <c r="CD56" s="26"/>
      <c r="CE56" s="26"/>
      <c r="CF56" s="26"/>
      <c r="CG56" s="26"/>
      <c r="CH56" s="26"/>
      <c r="CI56" s="26"/>
    </row>
    <row r="57" spans="1:87" ht="16.5" customHeight="1" x14ac:dyDescent="0.45">
      <c r="O57" s="48"/>
      <c r="P57" s="44"/>
      <c r="Q57" s="44"/>
      <c r="R57" s="44"/>
      <c r="S57" s="44"/>
      <c r="T57" s="44"/>
      <c r="U57" s="47"/>
      <c r="V57" s="47"/>
      <c r="W57" s="47"/>
      <c r="X57" s="47"/>
      <c r="Y57" s="47"/>
      <c r="Z57" s="47"/>
      <c r="AA57" s="47"/>
      <c r="AB57" s="44"/>
      <c r="AC57" s="44"/>
      <c r="AD57" s="44"/>
      <c r="AE57" s="44"/>
      <c r="AF57" s="44"/>
      <c r="AG57" s="44"/>
      <c r="AH57" s="47"/>
      <c r="AI57" s="47"/>
      <c r="AJ57" s="47"/>
      <c r="AK57" s="47"/>
      <c r="AL57" s="47"/>
      <c r="AM57" s="47"/>
      <c r="AN57" s="47"/>
      <c r="AO57" s="44"/>
      <c r="AP57" s="44"/>
      <c r="AQ57" s="44"/>
      <c r="AR57" s="44"/>
      <c r="AS57" s="44"/>
      <c r="AT57" s="44"/>
      <c r="AU57" s="47"/>
      <c r="AV57" s="47"/>
      <c r="AW57" s="47"/>
      <c r="AX57" s="47"/>
      <c r="AY57" s="47"/>
      <c r="AZ57" s="73"/>
      <c r="BA57" s="73"/>
      <c r="BB57" s="48"/>
      <c r="BC57" s="48"/>
      <c r="BD57" s="48"/>
      <c r="BE57" s="48"/>
      <c r="BF57" s="48"/>
      <c r="BG57" s="48"/>
      <c r="BH57" s="73"/>
      <c r="BI57" s="73"/>
      <c r="BJ57" s="73"/>
      <c r="BK57" s="73"/>
      <c r="BL57" s="73"/>
      <c r="BM57" s="73"/>
      <c r="BN57" s="73"/>
      <c r="BO57" s="48"/>
      <c r="BP57" s="48"/>
      <c r="BQ57" s="48"/>
      <c r="BR57" s="48"/>
      <c r="BS57" s="48"/>
      <c r="BT57" s="48"/>
      <c r="BU57" s="73"/>
      <c r="BV57" s="73"/>
      <c r="BW57" s="73"/>
      <c r="BX57" s="73"/>
      <c r="BY57" s="73"/>
      <c r="BZ57" s="73"/>
      <c r="CA57" s="73"/>
      <c r="CB57" s="26"/>
      <c r="CC57" s="26"/>
      <c r="CD57" s="26"/>
      <c r="CE57" s="26"/>
      <c r="CF57" s="26"/>
      <c r="CG57" s="26"/>
      <c r="CH57" s="26"/>
      <c r="CI57" s="26"/>
    </row>
    <row r="58" spans="1:87" ht="16.5" customHeight="1" x14ac:dyDescent="0.45">
      <c r="O58" s="32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26"/>
      <c r="CC58" s="26"/>
      <c r="CD58" s="26"/>
      <c r="CE58" s="26"/>
      <c r="CF58" s="26"/>
      <c r="CG58" s="26"/>
      <c r="CH58" s="26"/>
      <c r="CI58" s="26"/>
    </row>
    <row r="59" spans="1:87" x14ac:dyDescent="0.45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1"/>
      <c r="M59" s="31"/>
      <c r="N59" s="31"/>
      <c r="O59" s="26"/>
      <c r="P59" s="41"/>
      <c r="Q59" s="41"/>
      <c r="R59" s="41"/>
      <c r="S59" s="41"/>
      <c r="T59" s="41"/>
      <c r="U59" s="41"/>
      <c r="V59" s="41"/>
      <c r="W59" s="41"/>
      <c r="X59" s="41"/>
      <c r="Y59" s="42"/>
      <c r="Z59" s="42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2"/>
      <c r="AL59" s="42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2"/>
      <c r="AY59" s="42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7"/>
      <c r="BL59" s="27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7"/>
      <c r="BY59" s="27"/>
      <c r="BZ59" s="26"/>
      <c r="CA59" s="26"/>
      <c r="CB59" s="26"/>
      <c r="CC59" s="26"/>
      <c r="CD59" s="26"/>
      <c r="CE59" s="26"/>
      <c r="CF59" s="26"/>
      <c r="CG59" s="26"/>
      <c r="CH59" s="26"/>
      <c r="CI59" s="26"/>
    </row>
    <row r="60" spans="1:87" x14ac:dyDescent="0.45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1"/>
      <c r="M60" s="31"/>
      <c r="N60" s="31"/>
      <c r="O60" s="26"/>
      <c r="P60" s="41"/>
      <c r="Q60" s="41"/>
      <c r="R60" s="41"/>
      <c r="S60" s="41"/>
      <c r="T60" s="41"/>
      <c r="U60" s="41"/>
      <c r="V60" s="41"/>
      <c r="W60" s="41"/>
      <c r="X60" s="41"/>
      <c r="Y60" s="42"/>
      <c r="Z60" s="42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2"/>
      <c r="AL60" s="42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2"/>
      <c r="AY60" s="42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7"/>
      <c r="BL60" s="27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7"/>
      <c r="BY60" s="27"/>
      <c r="BZ60" s="26"/>
      <c r="CA60" s="26"/>
      <c r="CB60" s="26"/>
      <c r="CC60" s="26"/>
      <c r="CD60" s="26"/>
      <c r="CE60" s="26"/>
      <c r="CF60" s="26"/>
      <c r="CG60" s="26"/>
      <c r="CH60" s="26"/>
      <c r="CI60" s="26"/>
    </row>
    <row r="61" spans="1:87" x14ac:dyDescent="0.45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1"/>
      <c r="M61" s="31"/>
      <c r="N61" s="31"/>
      <c r="O61" s="26"/>
      <c r="P61" s="41"/>
      <c r="Q61" s="41"/>
      <c r="R61" s="41"/>
      <c r="S61" s="41"/>
      <c r="T61" s="41"/>
      <c r="U61" s="41"/>
      <c r="V61" s="41"/>
      <c r="W61" s="41"/>
      <c r="X61" s="41"/>
      <c r="Y61" s="42"/>
      <c r="Z61" s="42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2"/>
      <c r="AL61" s="42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2"/>
      <c r="AY61" s="42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7"/>
      <c r="BL61" s="27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7"/>
      <c r="BY61" s="27"/>
      <c r="BZ61" s="26"/>
      <c r="CA61" s="26"/>
      <c r="CB61" s="26"/>
      <c r="CC61" s="26"/>
      <c r="CD61" s="26"/>
      <c r="CE61" s="26"/>
      <c r="CF61" s="26"/>
      <c r="CG61" s="26"/>
      <c r="CH61" s="26"/>
      <c r="CI61" s="26"/>
    </row>
    <row r="62" spans="1:87" x14ac:dyDescent="0.45">
      <c r="O62" s="26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2"/>
      <c r="AL62" s="42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2"/>
      <c r="AY62" s="42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7"/>
      <c r="BL62" s="27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7"/>
      <c r="BY62" s="27"/>
      <c r="BZ62" s="26"/>
      <c r="CA62" s="26"/>
      <c r="CB62" s="26"/>
      <c r="CC62" s="26"/>
      <c r="CD62" s="26"/>
      <c r="CE62" s="26"/>
      <c r="CF62" s="26"/>
      <c r="CG62" s="26"/>
      <c r="CH62" s="26"/>
      <c r="CI62" s="26"/>
    </row>
    <row r="63" spans="1:87" x14ac:dyDescent="0.4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7"/>
      <c r="M63" s="27"/>
      <c r="N63" s="27"/>
      <c r="O63" s="26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2"/>
      <c r="AL63" s="42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2"/>
      <c r="AY63" s="42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7"/>
      <c r="BL63" s="27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7"/>
      <c r="BY63" s="27"/>
      <c r="BZ63" s="26"/>
      <c r="CA63" s="26"/>
      <c r="CB63" s="26"/>
      <c r="CC63" s="26"/>
      <c r="CD63" s="26"/>
      <c r="CE63" s="26"/>
      <c r="CF63" s="26"/>
      <c r="CG63" s="26"/>
      <c r="CH63" s="26"/>
      <c r="CI63" s="26"/>
    </row>
    <row r="64" spans="1:87" x14ac:dyDescent="0.4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7"/>
      <c r="M64" s="27"/>
      <c r="N64" s="27"/>
      <c r="O64" s="26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2"/>
      <c r="AL64" s="42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2"/>
      <c r="AY64" s="42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7"/>
      <c r="BL64" s="27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7"/>
      <c r="BY64" s="27"/>
      <c r="BZ64" s="26"/>
      <c r="CA64" s="26"/>
      <c r="CB64" s="26"/>
      <c r="CC64" s="26"/>
      <c r="CD64" s="26"/>
      <c r="CE64" s="26"/>
      <c r="CF64" s="26"/>
      <c r="CG64" s="26"/>
      <c r="CH64" s="26"/>
      <c r="CI64" s="26"/>
    </row>
    <row r="65" spans="1:87" x14ac:dyDescent="0.4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7"/>
      <c r="M65" s="27"/>
      <c r="N65" s="27"/>
      <c r="O65" s="26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2"/>
      <c r="AL65" s="42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2"/>
      <c r="AY65" s="42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7"/>
      <c r="BL65" s="27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7"/>
      <c r="BY65" s="27"/>
      <c r="BZ65" s="26"/>
      <c r="CA65" s="26"/>
      <c r="CB65" s="26"/>
      <c r="CC65" s="26"/>
      <c r="CD65" s="26"/>
      <c r="CE65" s="26"/>
      <c r="CF65" s="26"/>
      <c r="CG65" s="26"/>
      <c r="CH65" s="26"/>
      <c r="CI65" s="26"/>
    </row>
    <row r="66" spans="1:87" x14ac:dyDescent="0.4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7"/>
      <c r="M66" s="27"/>
      <c r="N66" s="27"/>
      <c r="O66" s="26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2"/>
      <c r="AL66" s="42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2"/>
      <c r="AY66" s="42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7"/>
      <c r="BL66" s="27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7"/>
      <c r="BY66" s="27"/>
      <c r="BZ66" s="26"/>
      <c r="CA66" s="26"/>
      <c r="CB66" s="26"/>
      <c r="CC66" s="26"/>
      <c r="CD66" s="26"/>
      <c r="CE66" s="26"/>
      <c r="CF66" s="26"/>
      <c r="CG66" s="26"/>
      <c r="CH66" s="26"/>
      <c r="CI66" s="26"/>
    </row>
    <row r="67" spans="1:87" ht="15.75" customHeight="1" x14ac:dyDescent="0.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7"/>
      <c r="M67" s="27"/>
      <c r="N67" s="27"/>
      <c r="O67" s="26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41"/>
      <c r="AN67" s="41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26"/>
      <c r="BA67" s="26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26"/>
      <c r="BN67" s="26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26"/>
      <c r="CA67" s="26"/>
      <c r="CB67" s="26"/>
      <c r="CC67" s="26"/>
      <c r="CD67" s="26"/>
      <c r="CE67" s="26"/>
      <c r="CF67" s="26"/>
      <c r="CG67" s="26"/>
      <c r="CH67" s="26"/>
      <c r="CI67" s="26"/>
    </row>
    <row r="68" spans="1:87" x14ac:dyDescent="0.4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7"/>
      <c r="M68" s="27"/>
      <c r="N68" s="27"/>
      <c r="O68" s="26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2"/>
      <c r="AL68" s="42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2"/>
      <c r="AY68" s="42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7"/>
      <c r="BL68" s="27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7"/>
      <c r="BY68" s="27"/>
      <c r="BZ68" s="26"/>
      <c r="CA68" s="26"/>
      <c r="CB68" s="26"/>
      <c r="CC68" s="26"/>
      <c r="CD68" s="26"/>
      <c r="CE68" s="26"/>
      <c r="CF68" s="26"/>
      <c r="CG68" s="26"/>
      <c r="CH68" s="26"/>
      <c r="CI68" s="26"/>
    </row>
    <row r="69" spans="1:87" x14ac:dyDescent="0.4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7"/>
      <c r="M69" s="27"/>
      <c r="N69" s="27"/>
      <c r="O69" s="26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2"/>
      <c r="AL69" s="42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2"/>
      <c r="AY69" s="42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7"/>
      <c r="BL69" s="27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7"/>
      <c r="BY69" s="27"/>
      <c r="BZ69" s="26"/>
      <c r="CA69" s="26"/>
      <c r="CB69" s="26"/>
      <c r="CC69" s="26"/>
      <c r="CD69" s="26"/>
      <c r="CE69" s="26"/>
      <c r="CF69" s="26"/>
      <c r="CG69" s="26"/>
      <c r="CH69" s="26"/>
      <c r="CI69" s="26"/>
    </row>
    <row r="70" spans="1:87" x14ac:dyDescent="0.4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7"/>
      <c r="M70" s="27"/>
      <c r="N70" s="27"/>
      <c r="O70" s="26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2"/>
      <c r="AL70" s="42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2"/>
      <c r="AY70" s="42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7"/>
      <c r="BL70" s="27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7"/>
      <c r="BY70" s="27"/>
      <c r="BZ70" s="26"/>
      <c r="CA70" s="26"/>
      <c r="CB70" s="26"/>
      <c r="CC70" s="26"/>
      <c r="CD70" s="26"/>
      <c r="CE70" s="26"/>
      <c r="CF70" s="26"/>
      <c r="CG70" s="26"/>
      <c r="CH70" s="26"/>
      <c r="CI70" s="26"/>
    </row>
    <row r="71" spans="1:87" x14ac:dyDescent="0.4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7"/>
      <c r="M71" s="27"/>
      <c r="N71" s="27"/>
      <c r="O71" s="26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2"/>
      <c r="AL71" s="42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2"/>
      <c r="AY71" s="42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7"/>
      <c r="BL71" s="27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7"/>
      <c r="BY71" s="27"/>
      <c r="BZ71" s="26"/>
      <c r="CA71" s="26"/>
      <c r="CB71" s="26"/>
      <c r="CC71" s="26"/>
      <c r="CD71" s="26"/>
      <c r="CE71" s="26"/>
      <c r="CF71" s="26"/>
      <c r="CG71" s="26"/>
      <c r="CH71" s="26"/>
      <c r="CI71" s="26"/>
    </row>
    <row r="72" spans="1:87" x14ac:dyDescent="0.4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7"/>
      <c r="M72" s="27"/>
      <c r="N72" s="27"/>
      <c r="O72" s="26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2"/>
      <c r="AL72" s="42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2"/>
      <c r="AY72" s="42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7"/>
      <c r="BL72" s="27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7"/>
      <c r="BY72" s="27"/>
      <c r="BZ72" s="26"/>
      <c r="CA72" s="26"/>
      <c r="CB72" s="26"/>
      <c r="CC72" s="26"/>
      <c r="CD72" s="26"/>
      <c r="CE72" s="26"/>
      <c r="CF72" s="26"/>
      <c r="CG72" s="26"/>
      <c r="CH72" s="26"/>
      <c r="CI72" s="26"/>
    </row>
    <row r="73" spans="1:87" x14ac:dyDescent="0.4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7"/>
      <c r="M73" s="27"/>
      <c r="N73" s="27"/>
      <c r="O73" s="26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2"/>
      <c r="AL73" s="42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2"/>
      <c r="AY73" s="42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7"/>
      <c r="BL73" s="27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7"/>
      <c r="BY73" s="27"/>
      <c r="BZ73" s="26"/>
      <c r="CA73" s="26"/>
      <c r="CB73" s="26"/>
      <c r="CC73" s="26"/>
      <c r="CD73" s="26"/>
      <c r="CE73" s="26"/>
      <c r="CF73" s="26"/>
      <c r="CG73" s="26"/>
      <c r="CH73" s="26"/>
      <c r="CI73" s="26"/>
    </row>
    <row r="74" spans="1:87" x14ac:dyDescent="0.4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7"/>
      <c r="M74" s="27"/>
      <c r="N74" s="27"/>
      <c r="O74" s="26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3"/>
      <c r="AE74" s="41"/>
      <c r="AF74" s="41"/>
      <c r="AG74" s="41"/>
      <c r="AH74" s="41"/>
      <c r="AI74" s="41"/>
      <c r="AJ74" s="41"/>
      <c r="AK74" s="42"/>
      <c r="AL74" s="42"/>
      <c r="AM74" s="41"/>
      <c r="AN74" s="41"/>
      <c r="AO74" s="41"/>
      <c r="AP74" s="41"/>
      <c r="AQ74" s="43"/>
      <c r="AR74" s="41"/>
      <c r="AS74" s="41"/>
      <c r="AT74" s="41"/>
      <c r="AU74" s="41"/>
      <c r="AV74" s="41"/>
      <c r="AW74" s="41"/>
      <c r="AX74" s="42"/>
      <c r="AY74" s="42"/>
      <c r="AZ74" s="26"/>
      <c r="BA74" s="26"/>
      <c r="BB74" s="26"/>
      <c r="BC74" s="26"/>
      <c r="BD74" s="32"/>
      <c r="BE74" s="26"/>
      <c r="BF74" s="26"/>
      <c r="BG74" s="26"/>
      <c r="BH74" s="26"/>
      <c r="BI74" s="26"/>
      <c r="BJ74" s="26"/>
      <c r="BK74" s="27"/>
      <c r="BL74" s="27"/>
      <c r="BM74" s="26"/>
      <c r="BN74" s="26"/>
      <c r="BO74" s="26"/>
      <c r="BP74" s="26"/>
      <c r="BQ74" s="32"/>
      <c r="BR74" s="26"/>
      <c r="BS74" s="26"/>
      <c r="BT74" s="26"/>
      <c r="BU74" s="26"/>
      <c r="BV74" s="26"/>
      <c r="BW74" s="26"/>
      <c r="BX74" s="27"/>
      <c r="BY74" s="27"/>
      <c r="BZ74" s="26"/>
      <c r="CA74" s="26"/>
      <c r="CB74" s="26"/>
      <c r="CC74" s="26"/>
      <c r="CD74" s="26"/>
      <c r="CE74" s="26"/>
      <c r="CF74" s="26"/>
      <c r="CG74" s="26"/>
      <c r="CH74" s="26"/>
      <c r="CI74" s="26"/>
    </row>
    <row r="75" spans="1:87" x14ac:dyDescent="0.4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7"/>
      <c r="M75" s="27"/>
      <c r="N75" s="27"/>
      <c r="O75" s="26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2"/>
      <c r="AL75" s="42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2"/>
      <c r="AY75" s="42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7"/>
      <c r="BL75" s="27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7"/>
      <c r="BY75" s="27"/>
      <c r="BZ75" s="26"/>
      <c r="CA75" s="26"/>
      <c r="CB75" s="26"/>
      <c r="CC75" s="26"/>
      <c r="CD75" s="26"/>
      <c r="CE75" s="26"/>
      <c r="CF75" s="26"/>
      <c r="CG75" s="26"/>
      <c r="CH75" s="26"/>
      <c r="CI75" s="26"/>
    </row>
    <row r="76" spans="1:87" x14ac:dyDescent="0.4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7"/>
      <c r="M76" s="27"/>
      <c r="N76" s="27"/>
      <c r="O76" s="26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2"/>
      <c r="AL76" s="42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2"/>
      <c r="AY76" s="42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7"/>
      <c r="BL76" s="27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7"/>
      <c r="BY76" s="27"/>
      <c r="BZ76" s="26"/>
      <c r="CA76" s="26"/>
      <c r="CB76" s="26"/>
      <c r="CC76" s="26"/>
      <c r="CD76" s="26"/>
      <c r="CE76" s="26"/>
      <c r="CF76" s="26"/>
      <c r="CG76" s="26"/>
      <c r="CH76" s="26"/>
      <c r="CI76" s="26"/>
    </row>
    <row r="77" spans="1:87" s="34" customFormat="1" ht="16.5" customHeight="1" x14ac:dyDescent="0.4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41"/>
      <c r="AI77" s="41"/>
      <c r="AJ77" s="41"/>
      <c r="AK77" s="42"/>
      <c r="AL77" s="42"/>
      <c r="AM77" s="85"/>
      <c r="AN77" s="85"/>
      <c r="AO77" s="85"/>
      <c r="AP77" s="85"/>
      <c r="AQ77" s="85"/>
      <c r="AR77" s="85"/>
      <c r="AS77" s="85"/>
      <c r="AT77" s="85"/>
      <c r="AU77" s="41"/>
      <c r="AV77" s="41"/>
      <c r="AW77" s="41"/>
      <c r="AX77" s="42"/>
      <c r="AY77" s="42"/>
      <c r="AZ77" s="33"/>
      <c r="BA77" s="33"/>
      <c r="BB77" s="33"/>
      <c r="BC77" s="33"/>
      <c r="BD77" s="33"/>
      <c r="BE77" s="33"/>
      <c r="BF77" s="33"/>
      <c r="BG77" s="33"/>
      <c r="BH77" s="26"/>
      <c r="BI77" s="26"/>
      <c r="BJ77" s="26"/>
      <c r="BK77" s="27"/>
      <c r="BL77" s="27"/>
      <c r="BM77" s="33"/>
      <c r="BN77" s="33"/>
      <c r="BO77" s="33"/>
      <c r="BP77" s="33"/>
      <c r="BQ77" s="33"/>
      <c r="BR77" s="33"/>
      <c r="BS77" s="33"/>
      <c r="BT77" s="33"/>
      <c r="BU77" s="26"/>
      <c r="BV77" s="26"/>
      <c r="BW77" s="26"/>
      <c r="BX77" s="27"/>
      <c r="BY77" s="27"/>
      <c r="BZ77" s="33"/>
      <c r="CA77" s="33"/>
      <c r="CB77" s="33"/>
      <c r="CC77" s="33"/>
      <c r="CD77" s="33"/>
      <c r="CE77" s="33"/>
      <c r="CF77" s="33"/>
      <c r="CG77" s="33"/>
      <c r="CH77" s="33"/>
      <c r="CI77" s="33"/>
    </row>
    <row r="78" spans="1:87" x14ac:dyDescent="0.4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7"/>
      <c r="M78" s="27"/>
      <c r="N78" s="27"/>
      <c r="O78" s="26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2"/>
      <c r="AL78" s="42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2"/>
      <c r="AY78" s="42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7"/>
      <c r="BL78" s="27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7"/>
      <c r="BY78" s="27"/>
      <c r="BZ78" s="26"/>
      <c r="CA78" s="26"/>
      <c r="CB78" s="26"/>
      <c r="CC78" s="26"/>
      <c r="CD78" s="26"/>
      <c r="CE78" s="26"/>
      <c r="CF78" s="26"/>
      <c r="CG78" s="26"/>
      <c r="CH78" s="26"/>
      <c r="CI78" s="26"/>
    </row>
    <row r="79" spans="1:87" x14ac:dyDescent="0.4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7"/>
      <c r="M79" s="27"/>
      <c r="N79" s="27"/>
      <c r="O79" s="26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2"/>
      <c r="AL79" s="42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2"/>
      <c r="AY79" s="42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7"/>
      <c r="BL79" s="27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7"/>
      <c r="BY79" s="27"/>
      <c r="BZ79" s="26"/>
      <c r="CA79" s="26"/>
      <c r="CB79" s="26"/>
      <c r="CC79" s="26"/>
      <c r="CD79" s="26"/>
      <c r="CE79" s="26"/>
      <c r="CF79" s="26"/>
      <c r="CG79" s="26"/>
      <c r="CH79" s="26"/>
      <c r="CI79" s="26"/>
    </row>
    <row r="80" spans="1:87" x14ac:dyDescent="0.4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7"/>
      <c r="M80" s="27"/>
      <c r="N80" s="27"/>
      <c r="O80" s="26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2"/>
      <c r="AL80" s="42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2"/>
      <c r="AY80" s="42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7"/>
      <c r="BL80" s="27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7"/>
      <c r="BY80" s="27"/>
      <c r="BZ80" s="26"/>
      <c r="CA80" s="26"/>
      <c r="CB80" s="26"/>
      <c r="CC80" s="26"/>
      <c r="CD80" s="26"/>
      <c r="CE80" s="26"/>
      <c r="CF80" s="26"/>
      <c r="CG80" s="26"/>
      <c r="CH80" s="26"/>
      <c r="CI80" s="26"/>
    </row>
    <row r="81" spans="1:87" x14ac:dyDescent="0.4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7"/>
      <c r="M81" s="27"/>
      <c r="N81" s="27"/>
      <c r="O81" s="26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2"/>
      <c r="AL81" s="42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2"/>
      <c r="AY81" s="42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7"/>
      <c r="BL81" s="27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7"/>
      <c r="BY81" s="27"/>
      <c r="BZ81" s="26"/>
      <c r="CA81" s="26"/>
      <c r="CB81" s="26"/>
      <c r="CC81" s="26"/>
      <c r="CD81" s="26"/>
      <c r="CE81" s="26"/>
      <c r="CF81" s="26"/>
      <c r="CG81" s="26"/>
      <c r="CH81" s="26"/>
      <c r="CI81" s="26"/>
    </row>
    <row r="82" spans="1:87" x14ac:dyDescent="0.4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7"/>
      <c r="M82" s="27"/>
      <c r="N82" s="27"/>
      <c r="O82" s="26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1"/>
      <c r="AN82" s="41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26"/>
      <c r="BA82" s="26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26"/>
      <c r="BN82" s="26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26"/>
      <c r="CA82" s="26"/>
      <c r="CB82" s="26"/>
      <c r="CC82" s="26"/>
      <c r="CD82" s="26"/>
      <c r="CE82" s="26"/>
      <c r="CF82" s="26"/>
      <c r="CG82" s="26"/>
      <c r="CH82" s="26"/>
      <c r="CI82" s="26"/>
    </row>
    <row r="83" spans="1:87" x14ac:dyDescent="0.4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7"/>
      <c r="M83" s="27"/>
      <c r="N83" s="27"/>
      <c r="O83" s="26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1"/>
      <c r="AN83" s="41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26"/>
      <c r="BA83" s="26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26"/>
      <c r="BN83" s="26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26"/>
      <c r="CA83" s="26"/>
      <c r="CB83" s="26"/>
      <c r="CC83" s="26"/>
      <c r="CD83" s="26"/>
      <c r="CE83" s="26"/>
      <c r="CF83" s="26"/>
      <c r="CG83" s="26"/>
      <c r="CH83" s="26"/>
      <c r="CI83" s="26"/>
    </row>
    <row r="84" spans="1:87" x14ac:dyDescent="0.4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7"/>
      <c r="M84" s="27"/>
      <c r="N84" s="27"/>
      <c r="O84" s="26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1"/>
      <c r="AN84" s="41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26"/>
      <c r="BA84" s="26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26"/>
      <c r="BN84" s="26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26"/>
      <c r="CA84" s="26"/>
      <c r="CB84" s="26"/>
      <c r="CC84" s="26"/>
      <c r="CD84" s="26"/>
      <c r="CE84" s="26"/>
      <c r="CF84" s="26"/>
      <c r="CG84" s="26"/>
      <c r="CH84" s="26"/>
      <c r="CI84" s="26"/>
    </row>
    <row r="85" spans="1:87" x14ac:dyDescent="0.4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7"/>
      <c r="M85" s="27"/>
      <c r="N85" s="27"/>
      <c r="O85" s="26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1"/>
      <c r="AN85" s="41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26"/>
      <c r="BA85" s="26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26"/>
      <c r="BN85" s="26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26"/>
      <c r="CA85" s="26"/>
      <c r="CB85" s="26"/>
      <c r="CC85" s="26"/>
      <c r="CD85" s="26"/>
      <c r="CE85" s="26"/>
      <c r="CF85" s="26"/>
      <c r="CG85" s="26"/>
      <c r="CH85" s="26"/>
      <c r="CI85" s="26"/>
    </row>
    <row r="86" spans="1:87" x14ac:dyDescent="0.4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7"/>
      <c r="M86" s="27"/>
      <c r="N86" s="27"/>
      <c r="O86" s="26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1"/>
      <c r="AN86" s="41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26"/>
      <c r="BA86" s="26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26"/>
      <c r="BN86" s="26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26"/>
      <c r="CA86" s="26"/>
      <c r="CB86" s="26"/>
      <c r="CC86" s="26"/>
      <c r="CD86" s="26"/>
      <c r="CE86" s="26"/>
      <c r="CF86" s="26"/>
      <c r="CG86" s="26"/>
      <c r="CH86" s="26"/>
      <c r="CI86" s="26"/>
    </row>
    <row r="87" spans="1:87" x14ac:dyDescent="0.4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7"/>
      <c r="M87" s="27"/>
      <c r="N87" s="27"/>
      <c r="O87" s="26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1"/>
      <c r="AN87" s="41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26"/>
      <c r="BA87" s="26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26"/>
      <c r="BN87" s="26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26"/>
      <c r="CA87" s="26"/>
      <c r="CB87" s="26"/>
      <c r="CC87" s="26"/>
      <c r="CD87" s="26"/>
      <c r="CE87" s="26"/>
      <c r="CF87" s="26"/>
      <c r="CG87" s="26"/>
      <c r="CH87" s="26"/>
      <c r="CI87" s="26"/>
    </row>
    <row r="88" spans="1:87" x14ac:dyDescent="0.4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7"/>
      <c r="M88" s="27"/>
      <c r="N88" s="27"/>
      <c r="O88" s="26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1"/>
      <c r="AN88" s="41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26"/>
      <c r="BA88" s="26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26"/>
      <c r="BN88" s="26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26"/>
      <c r="CA88" s="26"/>
      <c r="CB88" s="26"/>
      <c r="CC88" s="26"/>
      <c r="CD88" s="26"/>
      <c r="CE88" s="26"/>
      <c r="CF88" s="26"/>
      <c r="CG88" s="26"/>
      <c r="CH88" s="26"/>
      <c r="CI88" s="26"/>
    </row>
    <row r="89" spans="1:87" x14ac:dyDescent="0.4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7"/>
      <c r="M89" s="27"/>
      <c r="N89" s="27"/>
      <c r="O89" s="26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1"/>
      <c r="AN89" s="41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26"/>
      <c r="BA89" s="26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26"/>
      <c r="BN89" s="26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26"/>
      <c r="CA89" s="26"/>
      <c r="CB89" s="26"/>
      <c r="CC89" s="26"/>
      <c r="CD89" s="26"/>
      <c r="CE89" s="26"/>
      <c r="CF89" s="26"/>
      <c r="CG89" s="26"/>
      <c r="CH89" s="26"/>
      <c r="CI89" s="26"/>
    </row>
    <row r="90" spans="1:87" x14ac:dyDescent="0.4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7"/>
      <c r="M90" s="27"/>
      <c r="N90" s="27"/>
      <c r="O90" s="26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1"/>
      <c r="AN90" s="41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26"/>
      <c r="BA90" s="26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26"/>
      <c r="BN90" s="26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26"/>
      <c r="CA90" s="26"/>
      <c r="CB90" s="26"/>
      <c r="CC90" s="26"/>
      <c r="CD90" s="26"/>
      <c r="CE90" s="26"/>
      <c r="CF90" s="26"/>
      <c r="CG90" s="26"/>
      <c r="CH90" s="26"/>
      <c r="CI90" s="26"/>
    </row>
    <row r="91" spans="1:87" x14ac:dyDescent="0.4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7"/>
      <c r="M91" s="27"/>
      <c r="N91" s="27"/>
      <c r="O91" s="26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1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1"/>
      <c r="AN91" s="41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26"/>
      <c r="BA91" s="26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26"/>
      <c r="BN91" s="26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26"/>
      <c r="CA91" s="26"/>
      <c r="CB91" s="26"/>
      <c r="CC91" s="26"/>
      <c r="CD91" s="26"/>
      <c r="CE91" s="26"/>
      <c r="CF91" s="26"/>
      <c r="CG91" s="26"/>
      <c r="CH91" s="26"/>
      <c r="CI91" s="26"/>
    </row>
    <row r="92" spans="1:87" x14ac:dyDescent="0.4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7"/>
      <c r="M92" s="27"/>
      <c r="N92" s="27"/>
      <c r="O92" s="26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1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1"/>
      <c r="AN92" s="41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26"/>
      <c r="BA92" s="26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26"/>
      <c r="BN92" s="26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26"/>
      <c r="CA92" s="26"/>
      <c r="CB92" s="26"/>
      <c r="CC92" s="26"/>
      <c r="CD92" s="26"/>
      <c r="CE92" s="26"/>
      <c r="CF92" s="26"/>
      <c r="CG92" s="26"/>
      <c r="CH92" s="26"/>
      <c r="CI92" s="26"/>
    </row>
    <row r="93" spans="1:87" x14ac:dyDescent="0.4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7"/>
      <c r="M93" s="27"/>
      <c r="N93" s="27"/>
      <c r="O93" s="26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1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1"/>
      <c r="AN93" s="41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26"/>
      <c r="BA93" s="26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26"/>
      <c r="BN93" s="26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26"/>
      <c r="CA93" s="26"/>
      <c r="CB93" s="26"/>
      <c r="CC93" s="26"/>
      <c r="CD93" s="26"/>
      <c r="CE93" s="26"/>
      <c r="CF93" s="26"/>
      <c r="CG93" s="26"/>
      <c r="CH93" s="26"/>
      <c r="CI93" s="26"/>
    </row>
    <row r="94" spans="1:87" x14ac:dyDescent="0.45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7"/>
      <c r="M94" s="27"/>
      <c r="N94" s="27"/>
      <c r="O94" s="26"/>
      <c r="P94" s="44"/>
      <c r="Q94" s="44"/>
      <c r="R94" s="44"/>
      <c r="S94" s="44"/>
      <c r="T94" s="44"/>
      <c r="U94" s="45"/>
      <c r="V94" s="45"/>
      <c r="W94" s="45"/>
      <c r="X94" s="45"/>
      <c r="Y94" s="45"/>
      <c r="Z94" s="45"/>
      <c r="AA94" s="41"/>
      <c r="AB94" s="44"/>
      <c r="AC94" s="44"/>
      <c r="AD94" s="44"/>
      <c r="AE94" s="44"/>
      <c r="AF94" s="44"/>
      <c r="AG94" s="45"/>
      <c r="AH94" s="45"/>
      <c r="AI94" s="45"/>
      <c r="AJ94" s="45"/>
      <c r="AK94" s="45"/>
      <c r="AL94" s="45"/>
      <c r="AM94" s="41"/>
      <c r="AN94" s="41"/>
      <c r="AO94" s="44"/>
      <c r="AP94" s="44"/>
      <c r="AQ94" s="44"/>
      <c r="AR94" s="44"/>
      <c r="AS94" s="44"/>
      <c r="AT94" s="45"/>
      <c r="AU94" s="45"/>
      <c r="AV94" s="45"/>
      <c r="AW94" s="45"/>
      <c r="AX94" s="45"/>
      <c r="AY94" s="45"/>
      <c r="AZ94" s="26"/>
      <c r="BA94" s="26"/>
      <c r="BB94" s="44"/>
      <c r="BC94" s="44"/>
      <c r="BD94" s="44"/>
      <c r="BE94" s="44"/>
      <c r="BF94" s="44"/>
      <c r="BG94" s="45"/>
      <c r="BH94" s="45"/>
      <c r="BI94" s="45"/>
      <c r="BJ94" s="45"/>
      <c r="BK94" s="45"/>
      <c r="BL94" s="45"/>
      <c r="BM94" s="26"/>
      <c r="BN94" s="26"/>
      <c r="BO94" s="44"/>
      <c r="BP94" s="44"/>
      <c r="BQ94" s="44"/>
      <c r="BR94" s="44"/>
      <c r="BS94" s="44"/>
      <c r="BT94" s="45"/>
      <c r="BU94" s="45"/>
      <c r="BV94" s="45"/>
      <c r="BW94" s="45"/>
      <c r="BX94" s="45"/>
      <c r="BY94" s="45"/>
      <c r="BZ94" s="26"/>
      <c r="CA94" s="26"/>
      <c r="CB94" s="26"/>
      <c r="CC94" s="26"/>
      <c r="CD94" s="26"/>
      <c r="CE94" s="26"/>
      <c r="CF94" s="26"/>
      <c r="CG94" s="26"/>
      <c r="CH94" s="26"/>
      <c r="CI94" s="26"/>
    </row>
    <row r="95" spans="1:87" x14ac:dyDescent="0.45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7"/>
      <c r="M95" s="27"/>
      <c r="N95" s="27"/>
      <c r="O95" s="26"/>
      <c r="P95" s="41"/>
      <c r="Q95" s="41"/>
      <c r="R95" s="41"/>
      <c r="S95" s="41"/>
      <c r="T95" s="41"/>
      <c r="U95" s="43"/>
      <c r="V95" s="43"/>
      <c r="W95" s="43"/>
      <c r="X95" s="43"/>
      <c r="Y95" s="43"/>
      <c r="Z95" s="43"/>
      <c r="AA95" s="41"/>
      <c r="AB95" s="41"/>
      <c r="AC95" s="41"/>
      <c r="AD95" s="41"/>
      <c r="AE95" s="41"/>
      <c r="AF95" s="41"/>
      <c r="AG95" s="43"/>
      <c r="AH95" s="43"/>
      <c r="AI95" s="43"/>
      <c r="AJ95" s="43"/>
      <c r="AK95" s="43"/>
      <c r="AL95" s="43"/>
      <c r="AM95" s="41"/>
      <c r="AN95" s="41"/>
      <c r="AO95" s="41"/>
      <c r="AP95" s="41"/>
      <c r="AQ95" s="41"/>
      <c r="AR95" s="41"/>
      <c r="AS95" s="41"/>
      <c r="AT95" s="43"/>
      <c r="AU95" s="43"/>
      <c r="AV95" s="43"/>
      <c r="AW95" s="43"/>
      <c r="AX95" s="43"/>
      <c r="AY95" s="43"/>
      <c r="AZ95" s="26"/>
      <c r="BA95" s="26"/>
      <c r="BB95" s="41"/>
      <c r="BC95" s="41"/>
      <c r="BD95" s="41"/>
      <c r="BE95" s="41"/>
      <c r="BF95" s="41"/>
      <c r="BG95" s="43"/>
      <c r="BH95" s="43"/>
      <c r="BI95" s="43"/>
      <c r="BJ95" s="43"/>
      <c r="BK95" s="43"/>
      <c r="BL95" s="43"/>
      <c r="BM95" s="26"/>
      <c r="BN95" s="26"/>
      <c r="BO95" s="41"/>
      <c r="BP95" s="41"/>
      <c r="BQ95" s="41"/>
      <c r="BR95" s="41"/>
      <c r="BS95" s="41"/>
      <c r="BT95" s="43"/>
      <c r="BU95" s="43"/>
      <c r="BV95" s="43"/>
      <c r="BW95" s="43"/>
      <c r="BX95" s="43"/>
      <c r="BY95" s="43"/>
      <c r="BZ95" s="26"/>
      <c r="CA95" s="26"/>
      <c r="CB95" s="26"/>
      <c r="CC95" s="26"/>
      <c r="CD95" s="26"/>
      <c r="CE95" s="26"/>
      <c r="CF95" s="26"/>
      <c r="CG95" s="26"/>
      <c r="CH95" s="26"/>
      <c r="CI95" s="26"/>
    </row>
    <row r="96" spans="1:87" x14ac:dyDescent="0.4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7"/>
      <c r="M96" s="27"/>
      <c r="N96" s="27"/>
      <c r="O96" s="26"/>
      <c r="P96" s="41"/>
      <c r="Q96" s="41"/>
      <c r="R96" s="41"/>
      <c r="S96" s="41"/>
      <c r="T96" s="41"/>
      <c r="U96" s="43"/>
      <c r="V96" s="43"/>
      <c r="W96" s="43"/>
      <c r="X96" s="43"/>
      <c r="Y96" s="43"/>
      <c r="Z96" s="43"/>
      <c r="AA96" s="41"/>
      <c r="AB96" s="41"/>
      <c r="AC96" s="41"/>
      <c r="AD96" s="41"/>
      <c r="AE96" s="41"/>
      <c r="AF96" s="41"/>
      <c r="AG96" s="43"/>
      <c r="AH96" s="43"/>
      <c r="AI96" s="43"/>
      <c r="AJ96" s="43"/>
      <c r="AK96" s="43"/>
      <c r="AL96" s="43"/>
      <c r="AM96" s="41"/>
      <c r="AN96" s="41"/>
      <c r="AO96" s="41"/>
      <c r="AP96" s="41"/>
      <c r="AQ96" s="41"/>
      <c r="AR96" s="41"/>
      <c r="AS96" s="41"/>
      <c r="AT96" s="43"/>
      <c r="AU96" s="43"/>
      <c r="AV96" s="43"/>
      <c r="AW96" s="43"/>
      <c r="AX96" s="43"/>
      <c r="AY96" s="43"/>
      <c r="AZ96" s="26"/>
      <c r="BA96" s="26"/>
      <c r="BB96" s="41"/>
      <c r="BC96" s="41"/>
      <c r="BD96" s="41"/>
      <c r="BE96" s="41"/>
      <c r="BF96" s="41"/>
      <c r="BG96" s="43"/>
      <c r="BH96" s="43"/>
      <c r="BI96" s="43"/>
      <c r="BJ96" s="43"/>
      <c r="BK96" s="43"/>
      <c r="BL96" s="43"/>
      <c r="BM96" s="26"/>
      <c r="BN96" s="26"/>
      <c r="BO96" s="41"/>
      <c r="BP96" s="41"/>
      <c r="BQ96" s="41"/>
      <c r="BR96" s="41"/>
      <c r="BS96" s="41"/>
      <c r="BT96" s="43"/>
      <c r="BU96" s="43"/>
      <c r="BV96" s="43"/>
      <c r="BW96" s="43"/>
      <c r="BX96" s="43"/>
      <c r="BY96" s="43"/>
      <c r="BZ96" s="26"/>
      <c r="CA96" s="26"/>
      <c r="CB96" s="26"/>
      <c r="CC96" s="26"/>
      <c r="CD96" s="26"/>
      <c r="CE96" s="26"/>
      <c r="CF96" s="26"/>
      <c r="CG96" s="26"/>
      <c r="CH96" s="26"/>
      <c r="CI96" s="26"/>
    </row>
    <row r="97" spans="1:87" x14ac:dyDescent="0.4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7"/>
      <c r="M97" s="27"/>
      <c r="N97" s="27"/>
      <c r="O97" s="26"/>
      <c r="P97" s="44"/>
      <c r="Q97" s="44"/>
      <c r="R97" s="44"/>
      <c r="S97" s="47"/>
      <c r="T97" s="47"/>
      <c r="U97" s="41"/>
      <c r="V97" s="41"/>
      <c r="W97" s="41"/>
      <c r="X97" s="41"/>
      <c r="Y97" s="42"/>
      <c r="Z97" s="42"/>
      <c r="AA97" s="41"/>
      <c r="AB97" s="44"/>
      <c r="AC97" s="44"/>
      <c r="AD97" s="44"/>
      <c r="AE97" s="47"/>
      <c r="AF97" s="47"/>
      <c r="AG97" s="41"/>
      <c r="AH97" s="41"/>
      <c r="AI97" s="41"/>
      <c r="AJ97" s="41"/>
      <c r="AK97" s="42"/>
      <c r="AL97" s="42"/>
      <c r="AM97" s="41"/>
      <c r="AN97" s="41"/>
      <c r="AO97" s="44"/>
      <c r="AP97" s="44"/>
      <c r="AQ97" s="44"/>
      <c r="AR97" s="47"/>
      <c r="AS97" s="47"/>
      <c r="AT97" s="41"/>
      <c r="AU97" s="41"/>
      <c r="AV97" s="41"/>
      <c r="AW97" s="41"/>
      <c r="AX97" s="42"/>
      <c r="AY97" s="42"/>
      <c r="AZ97" s="26"/>
      <c r="BA97" s="26"/>
      <c r="BB97" s="44"/>
      <c r="BC97" s="44"/>
      <c r="BD97" s="44"/>
      <c r="BE97" s="47"/>
      <c r="BF97" s="47"/>
      <c r="BG97" s="41"/>
      <c r="BH97" s="41"/>
      <c r="BI97" s="41"/>
      <c r="BJ97" s="41"/>
      <c r="BK97" s="42"/>
      <c r="BL97" s="42"/>
      <c r="BM97" s="26"/>
      <c r="BN97" s="26"/>
      <c r="BO97" s="44"/>
      <c r="BP97" s="44"/>
      <c r="BQ97" s="44"/>
      <c r="BR97" s="47"/>
      <c r="BS97" s="47"/>
      <c r="BT97" s="41"/>
      <c r="BU97" s="41"/>
      <c r="BV97" s="41"/>
      <c r="BW97" s="41"/>
      <c r="BX97" s="42"/>
      <c r="BY97" s="42"/>
      <c r="BZ97" s="26"/>
      <c r="CA97" s="26"/>
      <c r="CB97" s="26"/>
      <c r="CC97" s="26"/>
      <c r="CD97" s="26"/>
      <c r="CE97" s="26"/>
      <c r="CF97" s="26"/>
      <c r="CG97" s="26"/>
      <c r="CH97" s="26"/>
      <c r="CI97" s="26"/>
    </row>
    <row r="98" spans="1:87" x14ac:dyDescent="0.4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7"/>
      <c r="M98" s="27"/>
      <c r="N98" s="27"/>
      <c r="O98" s="26"/>
      <c r="P98" s="44"/>
      <c r="Q98" s="44"/>
      <c r="R98" s="44"/>
      <c r="S98" s="47"/>
      <c r="T98" s="47"/>
      <c r="U98" s="41"/>
      <c r="V98" s="41"/>
      <c r="W98" s="41"/>
      <c r="X98" s="41"/>
      <c r="Y98" s="42"/>
      <c r="Z98" s="42"/>
      <c r="AA98" s="41"/>
      <c r="AB98" s="44"/>
      <c r="AC98" s="44"/>
      <c r="AD98" s="44"/>
      <c r="AE98" s="47"/>
      <c r="AF98" s="47"/>
      <c r="AG98" s="41"/>
      <c r="AH98" s="41"/>
      <c r="AI98" s="41"/>
      <c r="AJ98" s="41"/>
      <c r="AK98" s="42"/>
      <c r="AL98" s="42"/>
      <c r="AM98" s="41"/>
      <c r="AN98" s="41"/>
      <c r="AO98" s="44"/>
      <c r="AP98" s="44"/>
      <c r="AQ98" s="44"/>
      <c r="AR98" s="47"/>
      <c r="AS98" s="47"/>
      <c r="AT98" s="41"/>
      <c r="AU98" s="41"/>
      <c r="AV98" s="41"/>
      <c r="AW98" s="41"/>
      <c r="AX98" s="42"/>
      <c r="AY98" s="42"/>
      <c r="AZ98" s="26"/>
      <c r="BA98" s="26"/>
      <c r="BB98" s="44"/>
      <c r="BC98" s="44"/>
      <c r="BD98" s="44"/>
      <c r="BE98" s="47"/>
      <c r="BF98" s="47"/>
      <c r="BG98" s="41"/>
      <c r="BH98" s="41"/>
      <c r="BI98" s="41"/>
      <c r="BJ98" s="41"/>
      <c r="BK98" s="42"/>
      <c r="BL98" s="42"/>
      <c r="BM98" s="26"/>
      <c r="BN98" s="26"/>
      <c r="BO98" s="44"/>
      <c r="BP98" s="44"/>
      <c r="BQ98" s="44"/>
      <c r="BR98" s="47"/>
      <c r="BS98" s="47"/>
      <c r="BT98" s="41"/>
      <c r="BU98" s="41"/>
      <c r="BV98" s="41"/>
      <c r="BW98" s="41"/>
      <c r="BX98" s="42"/>
      <c r="BY98" s="42"/>
      <c r="BZ98" s="26"/>
      <c r="CA98" s="26"/>
      <c r="CB98" s="26"/>
      <c r="CC98" s="26"/>
      <c r="CD98" s="26"/>
      <c r="CE98" s="26"/>
      <c r="CF98" s="26"/>
      <c r="CG98" s="26"/>
      <c r="CH98" s="26"/>
      <c r="CI98" s="26"/>
    </row>
    <row r="99" spans="1:87" x14ac:dyDescent="0.4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7"/>
      <c r="M99" s="27"/>
      <c r="N99" s="27"/>
      <c r="O99" s="26"/>
      <c r="P99" s="44"/>
      <c r="Q99" s="44"/>
      <c r="R99" s="44"/>
      <c r="S99" s="47"/>
      <c r="T99" s="47"/>
      <c r="U99" s="41"/>
      <c r="V99" s="41"/>
      <c r="W99" s="41"/>
      <c r="X99" s="41"/>
      <c r="Y99" s="42"/>
      <c r="Z99" s="42"/>
      <c r="AA99" s="41"/>
      <c r="AB99" s="44"/>
      <c r="AC99" s="44"/>
      <c r="AD99" s="44"/>
      <c r="AE99" s="47"/>
      <c r="AF99" s="47"/>
      <c r="AG99" s="41"/>
      <c r="AH99" s="41"/>
      <c r="AI99" s="41"/>
      <c r="AJ99" s="41"/>
      <c r="AK99" s="42"/>
      <c r="AL99" s="42"/>
      <c r="AM99" s="41"/>
      <c r="AN99" s="41"/>
      <c r="AO99" s="44"/>
      <c r="AP99" s="44"/>
      <c r="AQ99" s="44"/>
      <c r="AR99" s="47"/>
      <c r="AS99" s="47"/>
      <c r="AT99" s="41"/>
      <c r="AU99" s="41"/>
      <c r="AV99" s="41"/>
      <c r="AW99" s="41"/>
      <c r="AX99" s="42"/>
      <c r="AY99" s="42"/>
      <c r="AZ99" s="26"/>
      <c r="BA99" s="26"/>
      <c r="BB99" s="44"/>
      <c r="BC99" s="44"/>
      <c r="BD99" s="44"/>
      <c r="BE99" s="47"/>
      <c r="BF99" s="47"/>
      <c r="BG99" s="41"/>
      <c r="BH99" s="41"/>
      <c r="BI99" s="41"/>
      <c r="BJ99" s="41"/>
      <c r="BK99" s="42"/>
      <c r="BL99" s="42"/>
      <c r="BM99" s="26"/>
      <c r="BN99" s="26"/>
      <c r="BO99" s="44"/>
      <c r="BP99" s="44"/>
      <c r="BQ99" s="44"/>
      <c r="BR99" s="47"/>
      <c r="BS99" s="47"/>
      <c r="BT99" s="41"/>
      <c r="BU99" s="41"/>
      <c r="BV99" s="41"/>
      <c r="BW99" s="41"/>
      <c r="BX99" s="42"/>
      <c r="BY99" s="42"/>
      <c r="BZ99" s="26"/>
      <c r="CA99" s="26"/>
      <c r="CB99" s="26"/>
      <c r="CC99" s="26"/>
      <c r="CD99" s="26"/>
      <c r="CE99" s="26"/>
      <c r="CF99" s="26"/>
      <c r="CG99" s="26"/>
      <c r="CH99" s="26"/>
      <c r="CI99" s="26"/>
    </row>
    <row r="100" spans="1:87" x14ac:dyDescent="0.4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7"/>
      <c r="M100" s="27"/>
      <c r="N100" s="27"/>
      <c r="O100" s="26"/>
      <c r="P100" s="44"/>
      <c r="Q100" s="44"/>
      <c r="R100" s="44"/>
      <c r="S100" s="47"/>
      <c r="T100" s="47"/>
      <c r="U100" s="41"/>
      <c r="V100" s="41"/>
      <c r="W100" s="41"/>
      <c r="X100" s="41"/>
      <c r="Y100" s="42"/>
      <c r="Z100" s="42"/>
      <c r="AA100" s="41"/>
      <c r="AB100" s="44"/>
      <c r="AC100" s="44"/>
      <c r="AD100" s="44"/>
      <c r="AE100" s="47"/>
      <c r="AF100" s="47"/>
      <c r="AG100" s="41"/>
      <c r="AH100" s="41"/>
      <c r="AI100" s="41"/>
      <c r="AJ100" s="41"/>
      <c r="AK100" s="42"/>
      <c r="AL100" s="42"/>
      <c r="AM100" s="41"/>
      <c r="AN100" s="41"/>
      <c r="AO100" s="44"/>
      <c r="AP100" s="44"/>
      <c r="AQ100" s="44"/>
      <c r="AR100" s="47"/>
      <c r="AS100" s="47"/>
      <c r="AT100" s="41"/>
      <c r="AU100" s="41"/>
      <c r="AV100" s="41"/>
      <c r="AW100" s="41"/>
      <c r="AX100" s="42"/>
      <c r="AY100" s="42"/>
      <c r="AZ100" s="26"/>
      <c r="BA100" s="26"/>
      <c r="BB100" s="44"/>
      <c r="BC100" s="44"/>
      <c r="BD100" s="44"/>
      <c r="BE100" s="47"/>
      <c r="BF100" s="47"/>
      <c r="BG100" s="41"/>
      <c r="BH100" s="41"/>
      <c r="BI100" s="41"/>
      <c r="BJ100" s="41"/>
      <c r="BK100" s="42"/>
      <c r="BL100" s="42"/>
      <c r="BM100" s="26"/>
      <c r="BN100" s="26"/>
      <c r="BO100" s="44"/>
      <c r="BP100" s="44"/>
      <c r="BQ100" s="44"/>
      <c r="BR100" s="47"/>
      <c r="BS100" s="47"/>
      <c r="BT100" s="41"/>
      <c r="BU100" s="41"/>
      <c r="BV100" s="41"/>
      <c r="BW100" s="41"/>
      <c r="BX100" s="42"/>
      <c r="BY100" s="42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</row>
    <row r="101" spans="1:87" x14ac:dyDescent="0.4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7"/>
      <c r="M101" s="27"/>
      <c r="N101" s="27"/>
      <c r="O101" s="26"/>
      <c r="P101" s="44"/>
      <c r="Q101" s="44"/>
      <c r="R101" s="44"/>
      <c r="S101" s="47"/>
      <c r="T101" s="47"/>
      <c r="U101" s="41"/>
      <c r="V101" s="41"/>
      <c r="W101" s="41"/>
      <c r="X101" s="41"/>
      <c r="Y101" s="42"/>
      <c r="Z101" s="42"/>
      <c r="AA101" s="41"/>
      <c r="AB101" s="44"/>
      <c r="AC101" s="44"/>
      <c r="AD101" s="44"/>
      <c r="AE101" s="47"/>
      <c r="AF101" s="47"/>
      <c r="AG101" s="41"/>
      <c r="AH101" s="41"/>
      <c r="AI101" s="41"/>
      <c r="AJ101" s="41"/>
      <c r="AK101" s="42"/>
      <c r="AL101" s="42"/>
      <c r="AM101" s="41"/>
      <c r="AN101" s="41"/>
      <c r="AO101" s="44"/>
      <c r="AP101" s="44"/>
      <c r="AQ101" s="44"/>
      <c r="AR101" s="47"/>
      <c r="AS101" s="47"/>
      <c r="AT101" s="41"/>
      <c r="AU101" s="41"/>
      <c r="AV101" s="41"/>
      <c r="AW101" s="41"/>
      <c r="AX101" s="42"/>
      <c r="AY101" s="42"/>
      <c r="AZ101" s="26"/>
      <c r="BA101" s="26"/>
      <c r="BB101" s="44"/>
      <c r="BC101" s="44"/>
      <c r="BD101" s="44"/>
      <c r="BE101" s="47"/>
      <c r="BF101" s="47"/>
      <c r="BG101" s="41"/>
      <c r="BH101" s="41"/>
      <c r="BI101" s="41"/>
      <c r="BJ101" s="41"/>
      <c r="BK101" s="42"/>
      <c r="BL101" s="42"/>
      <c r="BM101" s="26"/>
      <c r="BN101" s="26"/>
      <c r="BO101" s="44"/>
      <c r="BP101" s="44"/>
      <c r="BQ101" s="44"/>
      <c r="BR101" s="47"/>
      <c r="BS101" s="47"/>
      <c r="BT101" s="43"/>
      <c r="BU101" s="43"/>
      <c r="BV101" s="43"/>
      <c r="BW101" s="43"/>
      <c r="BX101" s="42"/>
      <c r="BY101" s="42"/>
      <c r="BZ101" s="26"/>
      <c r="CA101" s="26"/>
      <c r="CB101" s="26"/>
      <c r="CC101" s="26"/>
      <c r="CD101" s="26"/>
      <c r="CE101" s="26"/>
      <c r="CF101" s="26"/>
    </row>
    <row r="102" spans="1:87" x14ac:dyDescent="0.4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7"/>
      <c r="M102" s="27"/>
      <c r="N102" s="27"/>
      <c r="O102" s="26"/>
      <c r="P102" s="44"/>
      <c r="Q102" s="44"/>
      <c r="R102" s="44"/>
      <c r="S102" s="47"/>
      <c r="T102" s="47"/>
      <c r="U102" s="41"/>
      <c r="V102" s="41"/>
      <c r="W102" s="41"/>
      <c r="X102" s="41"/>
      <c r="Y102" s="42"/>
      <c r="Z102" s="42"/>
      <c r="AA102" s="41"/>
      <c r="AB102" s="44"/>
      <c r="AC102" s="44"/>
      <c r="AD102" s="44"/>
      <c r="AE102" s="47"/>
      <c r="AF102" s="47"/>
      <c r="AG102" s="41"/>
      <c r="AH102" s="41"/>
      <c r="AI102" s="41"/>
      <c r="AJ102" s="41"/>
      <c r="AK102" s="42"/>
      <c r="AL102" s="42"/>
      <c r="AM102" s="41"/>
      <c r="AN102" s="41"/>
      <c r="AO102" s="44"/>
      <c r="AP102" s="44"/>
      <c r="AQ102" s="44"/>
      <c r="AR102" s="47"/>
      <c r="AS102" s="47"/>
      <c r="AT102" s="41"/>
      <c r="AU102" s="41"/>
      <c r="AV102" s="41"/>
      <c r="AW102" s="41"/>
      <c r="AX102" s="42"/>
      <c r="AY102" s="42"/>
      <c r="AZ102" s="26"/>
      <c r="BA102" s="26"/>
      <c r="BB102" s="44"/>
      <c r="BC102" s="44"/>
      <c r="BD102" s="44"/>
      <c r="BE102" s="47"/>
      <c r="BF102" s="47"/>
      <c r="BG102" s="41"/>
      <c r="BH102" s="41"/>
      <c r="BI102" s="41"/>
      <c r="BJ102" s="41"/>
      <c r="BK102" s="42"/>
      <c r="BL102" s="42"/>
      <c r="BM102" s="26"/>
      <c r="BN102" s="26"/>
      <c r="BO102" s="44"/>
      <c r="BP102" s="44"/>
      <c r="BQ102" s="44"/>
      <c r="BR102" s="47"/>
      <c r="BS102" s="47"/>
      <c r="BT102" s="41"/>
      <c r="BU102" s="41"/>
      <c r="BV102" s="41"/>
      <c r="BW102" s="41"/>
      <c r="BX102" s="42"/>
      <c r="BY102" s="42"/>
      <c r="BZ102" s="26"/>
      <c r="CA102" s="26"/>
      <c r="CB102" s="26"/>
      <c r="CC102" s="26"/>
      <c r="CD102" s="26"/>
      <c r="CE102" s="26"/>
      <c r="CF102" s="26"/>
    </row>
    <row r="103" spans="1:87" x14ac:dyDescent="0.4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7"/>
      <c r="M103" s="27"/>
      <c r="N103" s="27"/>
      <c r="O103" s="26"/>
      <c r="P103" s="44"/>
      <c r="Q103" s="44"/>
      <c r="R103" s="44"/>
      <c r="S103" s="47"/>
      <c r="T103" s="47"/>
      <c r="U103" s="41"/>
      <c r="V103" s="41"/>
      <c r="W103" s="41"/>
      <c r="X103" s="41"/>
      <c r="Y103" s="42"/>
      <c r="Z103" s="42"/>
      <c r="AA103" s="41"/>
      <c r="AB103" s="44"/>
      <c r="AC103" s="44"/>
      <c r="AD103" s="44"/>
      <c r="AE103" s="47"/>
      <c r="AF103" s="47"/>
      <c r="AG103" s="41"/>
      <c r="AH103" s="41"/>
      <c r="AI103" s="41"/>
      <c r="AJ103" s="41"/>
      <c r="AK103" s="42"/>
      <c r="AL103" s="42"/>
      <c r="AM103" s="41"/>
      <c r="AN103" s="41"/>
      <c r="AO103" s="44"/>
      <c r="AP103" s="44"/>
      <c r="AQ103" s="44"/>
      <c r="AR103" s="47"/>
      <c r="AS103" s="47"/>
      <c r="AT103" s="41"/>
      <c r="AU103" s="41"/>
      <c r="AV103" s="41"/>
      <c r="AW103" s="41"/>
      <c r="AX103" s="42"/>
      <c r="AY103" s="42"/>
      <c r="AZ103" s="26"/>
      <c r="BA103" s="26"/>
      <c r="BB103" s="44"/>
      <c r="BC103" s="44"/>
      <c r="BD103" s="44"/>
      <c r="BE103" s="47"/>
      <c r="BF103" s="47"/>
      <c r="BG103" s="41"/>
      <c r="BH103" s="41"/>
      <c r="BI103" s="41"/>
      <c r="BJ103" s="41"/>
      <c r="BK103" s="42"/>
      <c r="BL103" s="42"/>
      <c r="BM103" s="26"/>
      <c r="BN103" s="26"/>
      <c r="BO103" s="44"/>
      <c r="BP103" s="44"/>
      <c r="BQ103" s="44"/>
      <c r="BR103" s="47"/>
      <c r="BS103" s="47"/>
      <c r="BT103" s="41"/>
      <c r="BU103" s="41"/>
      <c r="BV103" s="41"/>
      <c r="BW103" s="41"/>
      <c r="BX103" s="42"/>
      <c r="BY103" s="42"/>
      <c r="BZ103" s="26"/>
      <c r="CA103" s="26"/>
      <c r="CB103" s="26"/>
      <c r="CC103" s="26"/>
      <c r="CD103" s="26"/>
      <c r="CE103" s="26"/>
      <c r="CF103" s="26"/>
    </row>
    <row r="104" spans="1:87" x14ac:dyDescent="0.4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7"/>
      <c r="M104" s="27"/>
      <c r="N104" s="27"/>
      <c r="O104" s="26"/>
      <c r="P104" s="44"/>
      <c r="Q104" s="44"/>
      <c r="R104" s="44"/>
      <c r="S104" s="47"/>
      <c r="T104" s="47"/>
      <c r="U104" s="41"/>
      <c r="V104" s="41"/>
      <c r="W104" s="41"/>
      <c r="X104" s="41"/>
      <c r="Y104" s="42"/>
      <c r="Z104" s="42"/>
      <c r="AA104" s="41"/>
      <c r="AB104" s="44"/>
      <c r="AC104" s="44"/>
      <c r="AD104" s="44"/>
      <c r="AE104" s="47"/>
      <c r="AF104" s="47"/>
      <c r="AG104" s="41"/>
      <c r="AH104" s="41"/>
      <c r="AI104" s="41"/>
      <c r="AJ104" s="41"/>
      <c r="AK104" s="42"/>
      <c r="AL104" s="42"/>
      <c r="AM104" s="41"/>
      <c r="AN104" s="41"/>
      <c r="AO104" s="44"/>
      <c r="AP104" s="44"/>
      <c r="AQ104" s="44"/>
      <c r="AR104" s="47"/>
      <c r="AS104" s="47"/>
      <c r="AT104" s="41"/>
      <c r="AU104" s="41"/>
      <c r="AV104" s="41"/>
      <c r="AW104" s="41"/>
      <c r="AX104" s="42"/>
      <c r="AY104" s="42"/>
      <c r="AZ104" s="26"/>
      <c r="BA104" s="26"/>
      <c r="BB104" s="44"/>
      <c r="BC104" s="44"/>
      <c r="BD104" s="44"/>
      <c r="BE104" s="47"/>
      <c r="BF104" s="47"/>
      <c r="BG104" s="41"/>
      <c r="BH104" s="41"/>
      <c r="BI104" s="41"/>
      <c r="BJ104" s="41"/>
      <c r="BK104" s="42"/>
      <c r="BL104" s="42"/>
      <c r="BM104" s="26"/>
      <c r="BN104" s="26"/>
      <c r="BO104" s="44"/>
      <c r="BP104" s="44"/>
      <c r="BQ104" s="44"/>
      <c r="BR104" s="47"/>
      <c r="BS104" s="47"/>
      <c r="BT104" s="41"/>
      <c r="BU104" s="41"/>
      <c r="BV104" s="41"/>
      <c r="BW104" s="41"/>
      <c r="BX104" s="42"/>
      <c r="BY104" s="42"/>
      <c r="BZ104" s="26"/>
      <c r="CA104" s="26"/>
      <c r="CB104" s="26"/>
      <c r="CC104" s="26"/>
      <c r="CD104" s="26"/>
      <c r="CE104" s="26"/>
      <c r="CF104" s="26"/>
    </row>
    <row r="105" spans="1:87" x14ac:dyDescent="0.4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7"/>
      <c r="M105" s="27"/>
      <c r="N105" s="27"/>
      <c r="O105" s="26"/>
      <c r="P105" s="41"/>
      <c r="Q105" s="41"/>
      <c r="R105" s="41"/>
      <c r="S105" s="41"/>
      <c r="T105" s="41"/>
      <c r="U105" s="41"/>
      <c r="V105" s="41"/>
      <c r="W105" s="41"/>
      <c r="X105" s="41"/>
      <c r="Y105" s="42"/>
      <c r="Z105" s="42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2"/>
      <c r="AL105" s="42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2"/>
      <c r="AY105" s="42"/>
      <c r="AZ105" s="26"/>
      <c r="BA105" s="26"/>
      <c r="BB105" s="41"/>
      <c r="BC105" s="41"/>
      <c r="BD105" s="41"/>
      <c r="BE105" s="41"/>
      <c r="BF105" s="41"/>
      <c r="BG105" s="41"/>
      <c r="BH105" s="41"/>
      <c r="BI105" s="41"/>
      <c r="BJ105" s="41"/>
      <c r="BK105" s="42"/>
      <c r="BL105" s="42"/>
      <c r="BM105" s="26"/>
      <c r="BN105" s="26"/>
      <c r="BO105" s="43"/>
      <c r="BP105" s="43"/>
      <c r="BQ105" s="43"/>
      <c r="BR105" s="43"/>
      <c r="BS105" s="43"/>
      <c r="BT105" s="41"/>
      <c r="BU105" s="41"/>
      <c r="BV105" s="41"/>
      <c r="BW105" s="41"/>
      <c r="BX105" s="42"/>
      <c r="BY105" s="42"/>
      <c r="BZ105" s="26"/>
      <c r="CA105" s="26"/>
      <c r="CB105" s="26"/>
      <c r="CC105" s="26"/>
      <c r="CD105" s="26"/>
      <c r="CE105" s="26"/>
      <c r="CF105" s="26"/>
    </row>
    <row r="106" spans="1:87" x14ac:dyDescent="0.4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7"/>
      <c r="M106" s="27"/>
      <c r="N106" s="27"/>
      <c r="O106" s="26"/>
      <c r="P106" s="41"/>
      <c r="Q106" s="41"/>
      <c r="R106" s="41"/>
      <c r="S106" s="41"/>
      <c r="T106" s="41"/>
      <c r="U106" s="41"/>
      <c r="V106" s="41"/>
      <c r="W106" s="41"/>
      <c r="X106" s="41"/>
      <c r="Y106" s="42"/>
      <c r="Z106" s="42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2"/>
      <c r="AL106" s="42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2"/>
      <c r="AY106" s="42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7"/>
      <c r="BL106" s="27"/>
      <c r="BM106" s="26"/>
      <c r="BN106" s="26"/>
      <c r="BO106" s="32"/>
      <c r="BP106" s="32"/>
      <c r="BQ106" s="32"/>
      <c r="BR106" s="32"/>
      <c r="BS106" s="32"/>
      <c r="BT106" s="26"/>
      <c r="BU106" s="26"/>
      <c r="BV106" s="26"/>
      <c r="BW106" s="26"/>
      <c r="BX106" s="27"/>
      <c r="BY106" s="27"/>
      <c r="BZ106" s="26"/>
      <c r="CA106" s="26"/>
      <c r="CB106" s="26"/>
      <c r="CC106" s="26"/>
      <c r="CD106" s="26"/>
      <c r="CE106" s="26"/>
      <c r="CF106" s="26"/>
    </row>
    <row r="107" spans="1:87" x14ac:dyDescent="0.4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7"/>
      <c r="M107" s="27"/>
      <c r="N107" s="27"/>
      <c r="O107" s="48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1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26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26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26"/>
      <c r="CA107" s="26"/>
      <c r="CB107" s="26"/>
      <c r="CC107" s="26"/>
      <c r="CD107" s="26"/>
      <c r="CE107" s="26"/>
      <c r="CF107" s="26"/>
    </row>
    <row r="108" spans="1:87" x14ac:dyDescent="0.4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7"/>
      <c r="M108" s="27"/>
      <c r="N108" s="27"/>
      <c r="O108" s="32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1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26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26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26"/>
      <c r="CA108" s="26"/>
      <c r="CB108" s="26"/>
      <c r="CC108" s="26"/>
      <c r="CD108" s="26"/>
      <c r="CE108" s="26"/>
      <c r="CF108" s="26"/>
    </row>
    <row r="109" spans="1:87" x14ac:dyDescent="0.4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7"/>
      <c r="M109" s="27"/>
      <c r="N109" s="27"/>
      <c r="O109" s="26"/>
      <c r="P109" s="41"/>
      <c r="Q109" s="41"/>
      <c r="R109" s="41"/>
      <c r="S109" s="41"/>
      <c r="T109" s="41"/>
      <c r="U109" s="41"/>
      <c r="V109" s="41"/>
      <c r="W109" s="41"/>
      <c r="X109" s="41"/>
      <c r="Y109" s="42"/>
      <c r="Z109" s="42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2"/>
      <c r="AL109" s="42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2"/>
      <c r="AY109" s="42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7"/>
      <c r="BL109" s="27"/>
      <c r="BM109" s="26"/>
      <c r="BN109" s="26"/>
      <c r="BO109" s="32"/>
      <c r="BP109" s="32"/>
      <c r="BQ109" s="32"/>
      <c r="BR109" s="32"/>
      <c r="BS109" s="32"/>
      <c r="BT109" s="26"/>
      <c r="BU109" s="26"/>
      <c r="BV109" s="26"/>
      <c r="BW109" s="26"/>
      <c r="BX109" s="27"/>
      <c r="BY109" s="27"/>
      <c r="BZ109" s="26"/>
      <c r="CA109" s="26"/>
      <c r="CB109" s="26"/>
      <c r="CC109" s="26"/>
      <c r="CD109" s="26"/>
      <c r="CE109" s="26"/>
      <c r="CF109" s="26"/>
    </row>
    <row r="110" spans="1:87" x14ac:dyDescent="0.4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7"/>
      <c r="M110" s="27"/>
      <c r="N110" s="27"/>
      <c r="O110" s="26"/>
      <c r="P110" s="41"/>
      <c r="Q110" s="41"/>
      <c r="R110" s="41"/>
      <c r="S110" s="41"/>
      <c r="T110" s="41"/>
      <c r="U110" s="41"/>
      <c r="V110" s="41"/>
      <c r="W110" s="41"/>
      <c r="X110" s="41"/>
      <c r="Y110" s="42"/>
      <c r="Z110" s="42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2"/>
      <c r="AL110" s="42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2"/>
      <c r="AY110" s="42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7"/>
      <c r="BL110" s="27"/>
      <c r="BM110" s="26"/>
      <c r="BN110" s="26"/>
      <c r="BO110" s="32"/>
      <c r="BP110" s="32"/>
      <c r="BQ110" s="32"/>
      <c r="BR110" s="32"/>
      <c r="BS110" s="32"/>
      <c r="BT110" s="26"/>
      <c r="BU110" s="26"/>
      <c r="BV110" s="26"/>
      <c r="BW110" s="26"/>
      <c r="BX110" s="27"/>
      <c r="BY110" s="27"/>
      <c r="BZ110" s="26"/>
      <c r="CA110" s="26"/>
      <c r="CB110" s="26"/>
      <c r="CC110" s="26"/>
      <c r="CD110" s="26"/>
      <c r="CE110" s="26"/>
      <c r="CF110" s="26"/>
    </row>
    <row r="111" spans="1:87" x14ac:dyDescent="0.4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7"/>
      <c r="M111" s="27"/>
      <c r="N111" s="27"/>
      <c r="O111" s="26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32"/>
      <c r="BP111" s="32"/>
      <c r="BQ111" s="32"/>
      <c r="BR111" s="32"/>
      <c r="BS111" s="32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</row>
    <row r="112" spans="1:87" x14ac:dyDescent="0.4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7"/>
      <c r="M112" s="27"/>
      <c r="N112" s="27"/>
      <c r="O112" s="26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</row>
    <row r="113" spans="1:84" x14ac:dyDescent="0.4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7"/>
      <c r="M113" s="27"/>
      <c r="N113" s="27"/>
      <c r="O113" s="26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</row>
    <row r="114" spans="1:84" x14ac:dyDescent="0.4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7"/>
      <c r="M114" s="27"/>
      <c r="N114" s="27"/>
      <c r="O114" s="26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</row>
    <row r="115" spans="1:84" x14ac:dyDescent="0.4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7"/>
      <c r="M115" s="27"/>
      <c r="N115" s="27"/>
      <c r="O115" s="26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</row>
    <row r="116" spans="1:84" x14ac:dyDescent="0.4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7"/>
      <c r="M116" s="27"/>
      <c r="N116" s="27"/>
      <c r="O116" s="26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</row>
    <row r="117" spans="1:84" ht="16.5" customHeight="1" x14ac:dyDescent="0.4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7"/>
      <c r="M117" s="27"/>
      <c r="N117" s="27"/>
      <c r="O117" s="26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</row>
    <row r="118" spans="1:84" x14ac:dyDescent="0.4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7"/>
      <c r="M118" s="27"/>
      <c r="N118" s="27"/>
      <c r="O118" s="26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</row>
    <row r="119" spans="1:84" x14ac:dyDescent="0.4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7"/>
      <c r="M119" s="27"/>
      <c r="N119" s="27"/>
      <c r="O119" s="26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</row>
    <row r="120" spans="1:84" x14ac:dyDescent="0.4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7"/>
      <c r="M120" s="27"/>
      <c r="N120" s="27"/>
      <c r="O120" s="26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</row>
    <row r="121" spans="1:84" x14ac:dyDescent="0.4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7"/>
      <c r="M121" s="27"/>
      <c r="N121" s="27"/>
      <c r="O121" s="26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</row>
    <row r="122" spans="1:84" x14ac:dyDescent="0.4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7"/>
      <c r="M122" s="27"/>
      <c r="N122" s="27"/>
      <c r="O122" s="26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</row>
    <row r="123" spans="1:84" x14ac:dyDescent="0.4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7"/>
      <c r="M123" s="27"/>
      <c r="N123" s="27"/>
      <c r="O123" s="26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</row>
    <row r="124" spans="1:84" x14ac:dyDescent="0.4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7"/>
      <c r="M124" s="27"/>
      <c r="N124" s="27"/>
      <c r="O124" s="26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</row>
    <row r="125" spans="1:84" x14ac:dyDescent="0.4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7"/>
      <c r="M125" s="27"/>
      <c r="N125" s="27"/>
      <c r="O125" s="26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</row>
    <row r="126" spans="1:84" x14ac:dyDescent="0.4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7"/>
      <c r="M126" s="27"/>
      <c r="N126" s="27"/>
      <c r="O126" s="26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</row>
    <row r="127" spans="1:84" x14ac:dyDescent="0.4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7"/>
      <c r="M127" s="27"/>
      <c r="N127" s="27"/>
      <c r="O127" s="26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</row>
    <row r="128" spans="1:84" x14ac:dyDescent="0.4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7"/>
      <c r="M128" s="27"/>
      <c r="N128" s="27"/>
      <c r="O128" s="26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</row>
    <row r="150" spans="18:18" x14ac:dyDescent="0.45">
      <c r="R150" s="106"/>
    </row>
  </sheetData>
  <sheetProtection algorithmName="SHA-512" hashValue="zabbT8r99H8FXkCO0umzK9eTvaQlbZxjJhWyXaxS2gUWLY5AYNqu9JvVfQviqi8VApRDUi1/xuvGKE00gi9mvg==" saltValue="4JQ4VSJhpfNKOrx1OFJtyw==" spinCount="100000" sheet="1" formatCells="0" formatColumns="0" formatRows="0"/>
  <mergeCells count="35">
    <mergeCell ref="A31:E31"/>
    <mergeCell ref="A32:E32"/>
    <mergeCell ref="A21:O22"/>
    <mergeCell ref="A23:O24"/>
    <mergeCell ref="F31:O31"/>
    <mergeCell ref="F32:O32"/>
    <mergeCell ref="L29:M29"/>
    <mergeCell ref="N29:O29"/>
    <mergeCell ref="D29:E29"/>
    <mergeCell ref="F29:G29"/>
    <mergeCell ref="A13:A15"/>
    <mergeCell ref="B6:N6"/>
    <mergeCell ref="L13:L15"/>
    <mergeCell ref="N13:N15"/>
    <mergeCell ref="H13:H15"/>
    <mergeCell ref="I13:J14"/>
    <mergeCell ref="A8:C8"/>
    <mergeCell ref="A9:C9"/>
    <mergeCell ref="A10:C10"/>
    <mergeCell ref="A11:C11"/>
    <mergeCell ref="A12:C12"/>
    <mergeCell ref="D8:O8"/>
    <mergeCell ref="D9:O9"/>
    <mergeCell ref="D10:O10"/>
    <mergeCell ref="D11:O11"/>
    <mergeCell ref="D12:O12"/>
    <mergeCell ref="O13:O15"/>
    <mergeCell ref="G13:G15"/>
    <mergeCell ref="K13:K15"/>
    <mergeCell ref="B13:B15"/>
    <mergeCell ref="C13:C15"/>
    <mergeCell ref="D13:D15"/>
    <mergeCell ref="E13:E15"/>
    <mergeCell ref="F13:F15"/>
    <mergeCell ref="M13:M15"/>
  </mergeCells>
  <dataValidations count="5">
    <dataValidation type="list" allowBlank="1" showInputMessage="1" showErrorMessage="1" sqref="D16:D20" xr:uid="{91FA2CA8-085B-436E-A86E-BDA2422729F7}">
      <formula1>Цвет_полки</formula1>
    </dataValidation>
    <dataValidation type="list" allowBlank="1" showInputMessage="1" showErrorMessage="1" sqref="E16:E20" xr:uid="{F30D9430-68BA-4B6D-AC9F-442AD79F1A16}">
      <formula1>Цвет_рассеивателя</formula1>
    </dataValidation>
    <dataValidation type="list" allowBlank="1" showInputMessage="1" showErrorMessage="1" sqref="F16:F20" xr:uid="{92ABDA01-3F3B-4609-8F64-C99114C8653E}">
      <formula1>Цветовая_температура</formula1>
    </dataValidation>
    <dataValidation type="list" allowBlank="1" showInputMessage="1" showErrorMessage="1" sqref="G16:G20" xr:uid="{924DD76D-6EE4-4D87-BD9D-EC3CC8CD9596}">
      <formula1>Вывод_провода</formula1>
    </dataValidation>
    <dataValidation type="list" allowBlank="1" showInputMessage="1" showErrorMessage="1" sqref="H16:H20" xr:uid="{DEC12E7D-2513-4504-B426-5B7179895CAD}">
      <formula1>Полкодержатель</formula1>
    </dataValidation>
  </dataValidations>
  <pageMargins left="0.43307086614173229" right="0.43307086614173229" top="0.74803149606299213" bottom="0.77" header="0.31496062992125984" footer="0.31496062992125984"/>
  <pageSetup paperSize="9" scale="96" fitToWidth="6" pageOrder="overThenDown" orientation="landscape" r:id="rId1"/>
  <rowBreaks count="1" manualBreakCount="1">
    <brk id="14" max="16383" man="1"/>
  </rowBreaks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780FA-3113-41B0-9F11-65FADE23338A}">
  <sheetPr codeName="Лист4">
    <pageSetUpPr fitToPage="1"/>
  </sheetPr>
  <dimension ref="A1:P56"/>
  <sheetViews>
    <sheetView tabSelected="1" zoomScale="120" zoomScaleNormal="120" workbookViewId="0">
      <selection sqref="A1:XFD5"/>
    </sheetView>
  </sheetViews>
  <sheetFormatPr defaultRowHeight="14.25" x14ac:dyDescent="0.45"/>
  <sheetData>
    <row r="1" spans="1:12" ht="15.4" x14ac:dyDescent="0.45">
      <c r="A1" s="26"/>
      <c r="B1" s="26"/>
      <c r="C1" s="26"/>
      <c r="D1" s="26"/>
      <c r="E1" s="26"/>
      <c r="F1" s="26"/>
      <c r="G1" s="26"/>
      <c r="H1" s="26"/>
      <c r="I1" s="26"/>
      <c r="J1" s="27"/>
      <c r="K1" s="27"/>
      <c r="L1" s="26"/>
    </row>
    <row r="2" spans="1:12" ht="15.4" x14ac:dyDescent="0.45">
      <c r="A2" s="26"/>
      <c r="B2" s="26"/>
      <c r="C2" s="26"/>
      <c r="D2" s="26"/>
      <c r="E2" s="26"/>
      <c r="F2" s="26"/>
      <c r="G2" s="26"/>
      <c r="H2" s="26"/>
      <c r="I2" s="26"/>
      <c r="J2" s="27"/>
      <c r="K2" s="27"/>
      <c r="L2" s="26"/>
    </row>
    <row r="3" spans="1:12" ht="15.4" x14ac:dyDescent="0.45">
      <c r="A3" s="26"/>
      <c r="B3" s="26"/>
      <c r="C3" s="26"/>
      <c r="D3" s="26"/>
      <c r="E3" s="26"/>
      <c r="F3" s="26"/>
      <c r="G3" s="26"/>
      <c r="H3" s="26"/>
      <c r="I3" s="26"/>
      <c r="J3" s="27"/>
      <c r="K3" s="27"/>
      <c r="L3" s="26"/>
    </row>
    <row r="4" spans="1:12" ht="15.4" x14ac:dyDescent="0.45">
      <c r="A4" s="26"/>
      <c r="B4" s="26"/>
      <c r="C4" s="26"/>
      <c r="D4" s="26"/>
      <c r="E4" s="26"/>
      <c r="F4" s="26"/>
      <c r="G4" s="26"/>
      <c r="H4" s="26"/>
      <c r="I4" s="26"/>
      <c r="J4" s="27"/>
      <c r="K4" s="27"/>
      <c r="L4" s="26"/>
    </row>
    <row r="5" spans="1:12" ht="15.4" x14ac:dyDescent="0.45">
      <c r="A5" s="26"/>
      <c r="B5" s="26"/>
      <c r="C5" s="26"/>
      <c r="D5" s="26"/>
      <c r="E5" s="26"/>
      <c r="F5" s="26"/>
      <c r="G5" s="26"/>
      <c r="H5" s="26"/>
      <c r="I5" s="26"/>
      <c r="J5" s="27"/>
      <c r="K5" s="27"/>
      <c r="L5" s="26"/>
    </row>
    <row r="6" spans="1:12" ht="15.4" x14ac:dyDescent="0.45">
      <c r="A6" s="26"/>
      <c r="B6" s="26"/>
      <c r="C6" s="26"/>
      <c r="D6" s="26"/>
      <c r="E6" s="26"/>
      <c r="F6" s="26"/>
      <c r="G6" s="26"/>
      <c r="H6" s="26"/>
      <c r="I6" s="26"/>
      <c r="J6" s="27"/>
      <c r="K6" s="27"/>
      <c r="L6" s="26"/>
    </row>
    <row r="7" spans="1:12" ht="19.899999999999999" x14ac:dyDescent="0.5">
      <c r="A7" s="123" t="str">
        <f ca="1">"Спецификация арт. " &amp; 'Лист заказа Moonlight'!$K$16</f>
        <v>Спецификация арт. ML.500.500.WCLV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</row>
    <row r="8" spans="1:12" ht="17.25" x14ac:dyDescent="0.45">
      <c r="A8" s="184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</row>
    <row r="9" spans="1:12" ht="15.75" thickBot="1" x14ac:dyDescent="0.5">
      <c r="A9" s="26"/>
      <c r="B9" s="26"/>
      <c r="C9" s="26"/>
      <c r="D9" s="26"/>
      <c r="E9" s="26"/>
      <c r="F9" s="26"/>
      <c r="G9" s="26"/>
      <c r="H9" s="26"/>
      <c r="I9" s="26"/>
      <c r="J9" s="27"/>
      <c r="K9" s="27"/>
      <c r="L9" s="26"/>
    </row>
    <row r="10" spans="1:12" ht="15.75" thickBot="1" x14ac:dyDescent="0.5">
      <c r="A10" s="26"/>
      <c r="B10" s="26"/>
      <c r="C10" s="26"/>
      <c r="D10" s="26"/>
      <c r="E10" s="26"/>
      <c r="F10" s="28"/>
      <c r="G10" s="185" t="s">
        <v>41</v>
      </c>
      <c r="H10" s="186"/>
      <c r="I10" s="187"/>
      <c r="J10" s="188">
        <f>'Лист заказа Moonlight'!$D$8</f>
        <v>0</v>
      </c>
      <c r="K10" s="189"/>
      <c r="L10" s="190"/>
    </row>
    <row r="11" spans="1:12" ht="15.75" thickBot="1" x14ac:dyDescent="0.5">
      <c r="A11" s="26"/>
      <c r="B11" s="26"/>
      <c r="C11" s="26"/>
      <c r="D11" s="26"/>
      <c r="E11" s="26"/>
      <c r="F11" s="28"/>
      <c r="G11" s="185" t="s">
        <v>54</v>
      </c>
      <c r="H11" s="186"/>
      <c r="I11" s="187"/>
      <c r="J11" s="191" t="s">
        <v>75</v>
      </c>
      <c r="K11" s="189"/>
      <c r="L11" s="190"/>
    </row>
    <row r="12" spans="1:12" ht="15.75" thickBot="1" x14ac:dyDescent="0.5">
      <c r="A12" s="26"/>
      <c r="B12" s="26"/>
      <c r="C12" s="26"/>
      <c r="D12" s="26"/>
      <c r="E12" s="26"/>
      <c r="F12" s="28"/>
      <c r="G12" s="185" t="s">
        <v>0</v>
      </c>
      <c r="H12" s="186"/>
      <c r="I12" s="187"/>
      <c r="J12" s="191">
        <f>'Лист заказа Moonlight'!$B$16</f>
        <v>500</v>
      </c>
      <c r="K12" s="189"/>
      <c r="L12" s="190"/>
    </row>
    <row r="13" spans="1:12" ht="15.75" thickBot="1" x14ac:dyDescent="0.5">
      <c r="A13" s="26"/>
      <c r="B13" s="26"/>
      <c r="C13" s="26"/>
      <c r="D13" s="26"/>
      <c r="E13" s="26"/>
      <c r="F13" s="28"/>
      <c r="G13" s="192" t="s">
        <v>1</v>
      </c>
      <c r="H13" s="193"/>
      <c r="I13" s="194"/>
      <c r="J13" s="191">
        <f>'Лист заказа Moonlight'!$C$16</f>
        <v>500</v>
      </c>
      <c r="K13" s="189"/>
      <c r="L13" s="190"/>
    </row>
    <row r="14" spans="1:12" ht="15.75" thickBot="1" x14ac:dyDescent="0.5">
      <c r="A14" s="26"/>
      <c r="B14" s="26"/>
      <c r="C14" s="26"/>
      <c r="D14" s="26"/>
      <c r="E14" s="26"/>
      <c r="F14" s="28"/>
      <c r="G14" s="185" t="s">
        <v>2</v>
      </c>
      <c r="H14" s="186"/>
      <c r="I14" s="187"/>
      <c r="J14" s="191" t="str">
        <f>'Лист заказа Moonlight'!$D$16</f>
        <v>Шампань</v>
      </c>
      <c r="K14" s="189"/>
      <c r="L14" s="190"/>
    </row>
    <row r="15" spans="1:12" ht="15.75" thickBot="1" x14ac:dyDescent="0.5">
      <c r="A15" s="26"/>
      <c r="B15" s="26"/>
      <c r="C15" s="32"/>
      <c r="D15" s="26"/>
      <c r="E15" s="26"/>
      <c r="F15" s="28"/>
      <c r="G15" s="185" t="s">
        <v>3</v>
      </c>
      <c r="H15" s="186"/>
      <c r="I15" s="187"/>
      <c r="J15" s="191" t="str">
        <f>'Лист заказа Moonlight'!$E$16</f>
        <v>Молочный</v>
      </c>
      <c r="K15" s="189"/>
      <c r="L15" s="190"/>
    </row>
    <row r="16" spans="1:12" ht="15.75" thickBot="1" x14ac:dyDescent="0.5">
      <c r="A16" s="26"/>
      <c r="B16" s="26"/>
      <c r="C16" s="26"/>
      <c r="D16" s="26"/>
      <c r="E16" s="26"/>
      <c r="F16" s="28"/>
      <c r="G16" s="195" t="s">
        <v>4</v>
      </c>
      <c r="H16" s="196"/>
      <c r="I16" s="197"/>
      <c r="J16" s="191" t="str">
        <f>'Лист заказа Moonlight'!$F$16</f>
        <v>Теплый</v>
      </c>
      <c r="K16" s="189"/>
      <c r="L16" s="190"/>
    </row>
    <row r="17" spans="1:16" ht="15.75" thickBot="1" x14ac:dyDescent="0.5">
      <c r="A17" s="26"/>
      <c r="B17" s="26"/>
      <c r="C17" s="26"/>
      <c r="D17" s="26"/>
      <c r="E17" s="26"/>
      <c r="F17" s="28"/>
      <c r="G17" s="185" t="s">
        <v>34</v>
      </c>
      <c r="H17" s="186"/>
      <c r="I17" s="187"/>
      <c r="J17" s="191" t="str">
        <f>'Лист заказа Moonlight'!$G$16</f>
        <v>Слева</v>
      </c>
      <c r="K17" s="189"/>
      <c r="L17" s="190"/>
    </row>
    <row r="18" spans="1:16" ht="16.5" customHeight="1" thickBot="1" x14ac:dyDescent="0.5">
      <c r="A18" s="33"/>
      <c r="B18" s="33"/>
      <c r="C18" s="33"/>
      <c r="D18" s="33"/>
      <c r="E18" s="33"/>
      <c r="F18" s="28"/>
      <c r="G18" s="200" t="s">
        <v>49</v>
      </c>
      <c r="H18" s="201"/>
      <c r="I18" s="202"/>
      <c r="J18" s="191" t="str">
        <f>IF('Лист заказа Moonlight'!$H$16=0,"",'Лист заказа Moonlight'!$H$16)</f>
        <v>Скрытый, врезной</v>
      </c>
      <c r="K18" s="189"/>
      <c r="L18" s="190"/>
    </row>
    <row r="19" spans="1:16" ht="15.75" thickBot="1" x14ac:dyDescent="0.5">
      <c r="A19" s="26"/>
      <c r="B19" s="26"/>
      <c r="C19" s="26"/>
      <c r="D19" s="26"/>
      <c r="E19" s="26"/>
      <c r="F19" s="28"/>
      <c r="G19" s="192" t="s">
        <v>91</v>
      </c>
      <c r="H19" s="193"/>
      <c r="I19" s="194"/>
      <c r="J19" s="191" t="str">
        <f>IF('Лист заказа Moonlight'!$I$16=0,"",'Лист заказа Moonlight'!$I$16-11)</f>
        <v/>
      </c>
      <c r="K19" s="189"/>
      <c r="L19" s="190"/>
    </row>
    <row r="20" spans="1:16" ht="15.75" thickBot="1" x14ac:dyDescent="0.5">
      <c r="A20" s="26"/>
      <c r="B20" s="26"/>
      <c r="C20" s="26"/>
      <c r="D20" s="26"/>
      <c r="E20" s="26"/>
      <c r="F20" s="28"/>
      <c r="G20" s="185" t="s">
        <v>89</v>
      </c>
      <c r="H20" s="186"/>
      <c r="I20" s="187"/>
      <c r="J20" s="191" t="str">
        <f>IF('Лист заказа Moonlight'!$J$16=0,"",'Лист заказа Moonlight'!$J$16)</f>
        <v/>
      </c>
      <c r="K20" s="189"/>
      <c r="L20" s="190"/>
    </row>
    <row r="21" spans="1:16" ht="16.5" customHeight="1" thickBot="1" x14ac:dyDescent="0.5">
      <c r="A21" s="26"/>
      <c r="B21" s="26"/>
      <c r="C21" s="26"/>
      <c r="D21" s="26"/>
      <c r="E21" s="26"/>
      <c r="F21" s="28"/>
      <c r="G21" s="185" t="s">
        <v>52</v>
      </c>
      <c r="H21" s="186"/>
      <c r="I21" s="187"/>
      <c r="J21" s="203">
        <f>'Лист заказа Moonlight'!$N$16</f>
        <v>1</v>
      </c>
      <c r="K21" s="189"/>
      <c r="L21" s="190"/>
    </row>
    <row r="22" spans="1:16" ht="15.75" thickBot="1" x14ac:dyDescent="0.5">
      <c r="A22" s="26"/>
      <c r="B22" s="26"/>
      <c r="C22" s="26"/>
      <c r="D22" s="26"/>
      <c r="E22" s="26"/>
      <c r="F22" s="26"/>
      <c r="G22" s="26"/>
      <c r="H22" s="26"/>
      <c r="I22" s="26"/>
      <c r="J22" s="27"/>
      <c r="K22" s="27"/>
      <c r="L22" s="26"/>
    </row>
    <row r="23" spans="1:16" ht="15.75" thickBot="1" x14ac:dyDescent="0.5">
      <c r="A23" s="52" t="s">
        <v>65</v>
      </c>
      <c r="B23" s="151" t="s">
        <v>5</v>
      </c>
      <c r="C23" s="183"/>
      <c r="D23" s="151" t="s">
        <v>6</v>
      </c>
      <c r="E23" s="152"/>
      <c r="F23" s="183"/>
      <c r="G23" s="151" t="s">
        <v>7</v>
      </c>
      <c r="H23" s="183"/>
      <c r="I23" s="52" t="s">
        <v>8</v>
      </c>
      <c r="J23" s="145" t="s">
        <v>9</v>
      </c>
      <c r="K23" s="147"/>
      <c r="L23" s="53" t="s">
        <v>55</v>
      </c>
    </row>
    <row r="24" spans="1:16" ht="15.4" x14ac:dyDescent="0.45">
      <c r="A24" s="37">
        <v>1</v>
      </c>
      <c r="B24" s="159" t="str" cm="1">
        <f t="array" aca="1" ref="B24" ca="1">"131.741.3760."&amp;OFFSET('Таблица с данными'!$B$2,MATCH($J$14,'Таблица с данными'!$B$3:$B$6,0),1,COUNTIFS('Таблица с данными'!$B$3:$B$6,$J$14),1)</f>
        <v>131.741.3760.C</v>
      </c>
      <c r="C24" s="161"/>
      <c r="D24" s="162" t="s">
        <v>11</v>
      </c>
      <c r="E24" s="163"/>
      <c r="F24" s="164"/>
      <c r="G24" s="159" t="str">
        <f>$J$14</f>
        <v>Шампань</v>
      </c>
      <c r="H24" s="161"/>
      <c r="I24" s="54">
        <f>1*$J$21</f>
        <v>1</v>
      </c>
      <c r="J24" s="198">
        <f>$J$12-3</f>
        <v>497</v>
      </c>
      <c r="K24" s="199"/>
      <c r="L24" s="38"/>
    </row>
    <row r="25" spans="1:16" ht="15.4" x14ac:dyDescent="0.45">
      <c r="A25" s="36">
        <v>2</v>
      </c>
      <c r="B25" s="165" t="str" cm="1">
        <f t="array" aca="1" ref="B25" ca="1">"131.740.3760."&amp;OFFSET('Таблица с данными'!$B$2,MATCH($J$14,'Таблица с данными'!$B$3:$B$6,0),1,COUNTIFS('Таблица с данными'!$B$3:$B$6,$J$14),1)</f>
        <v>131.740.3760.C</v>
      </c>
      <c r="C25" s="167"/>
      <c r="D25" s="168" t="s">
        <v>37</v>
      </c>
      <c r="E25" s="169"/>
      <c r="F25" s="170"/>
      <c r="G25" s="165" t="str">
        <f>$J$14</f>
        <v>Шампань</v>
      </c>
      <c r="H25" s="167"/>
      <c r="I25" s="55">
        <f t="shared" ref="I25:I34" si="0">1*$J$21</f>
        <v>1</v>
      </c>
      <c r="J25" s="180">
        <f>$J$13-11</f>
        <v>489</v>
      </c>
      <c r="K25" s="181"/>
      <c r="L25" s="39"/>
    </row>
    <row r="26" spans="1:16" ht="15.4" x14ac:dyDescent="0.45">
      <c r="A26" s="36">
        <v>3</v>
      </c>
      <c r="B26" s="165" t="str" cm="1">
        <f t="array" aca="1" ref="B26" ca="1">"131.740.3760."&amp;OFFSET('Таблица с данными'!$B$2,MATCH($J$14,'Таблица с данными'!$B$3:$B$6,0),1,COUNTIFS('Таблица с данными'!$B$3:$B$6,$J$14),1)</f>
        <v>131.740.3760.C</v>
      </c>
      <c r="C26" s="167"/>
      <c r="D26" s="168" t="s">
        <v>38</v>
      </c>
      <c r="E26" s="169"/>
      <c r="F26" s="170"/>
      <c r="G26" s="165" t="str">
        <f>$J$14</f>
        <v>Шампань</v>
      </c>
      <c r="H26" s="167"/>
      <c r="I26" s="55">
        <f t="shared" si="0"/>
        <v>1</v>
      </c>
      <c r="J26" s="180">
        <f>$J$13-11</f>
        <v>489</v>
      </c>
      <c r="K26" s="181"/>
      <c r="L26" s="39"/>
    </row>
    <row r="27" spans="1:16" ht="15.4" x14ac:dyDescent="0.45">
      <c r="A27" s="36">
        <v>4</v>
      </c>
      <c r="B27" s="165" t="str" cm="1">
        <f t="array" aca="1" ref="B27" ca="1">"131.740.3760."&amp;OFFSET('Таблица с данными'!$B$2,MATCH($J$14,'Таблица с данными'!$B$3:$B$6,0),1,COUNTIFS('Таблица с данными'!$B$3:$B$6,$J$14),1)</f>
        <v>131.740.3760.C</v>
      </c>
      <c r="C27" s="167"/>
      <c r="D27" s="168" t="s">
        <v>12</v>
      </c>
      <c r="E27" s="169"/>
      <c r="F27" s="170"/>
      <c r="G27" s="165" t="str">
        <f>$J$14</f>
        <v>Шампань</v>
      </c>
      <c r="H27" s="167"/>
      <c r="I27" s="55">
        <f t="shared" si="0"/>
        <v>1</v>
      </c>
      <c r="J27" s="180">
        <f>$J$12-24.4</f>
        <v>475.6</v>
      </c>
      <c r="K27" s="181"/>
      <c r="L27" s="39"/>
    </row>
    <row r="28" spans="1:16" ht="15.4" x14ac:dyDescent="0.45">
      <c r="A28" s="36">
        <v>5</v>
      </c>
      <c r="B28" s="165" t="str" cm="1">
        <f t="array" aca="1" ref="B28" ca="1">"00-00002568"&amp;OFFSET('Таблица с данными'!$B$2,MATCH($J$14,'Таблица с данными'!$B$3:$B$6,0),1,COUNTIFS('Таблица с данными'!$B$3:$B$6,$J$14),1)</f>
        <v>00-00002568C</v>
      </c>
      <c r="C28" s="167"/>
      <c r="D28" s="168" t="s">
        <v>15</v>
      </c>
      <c r="E28" s="169"/>
      <c r="F28" s="170"/>
      <c r="G28" s="165" t="str">
        <f t="shared" ref="G28" si="1">$J$14</f>
        <v>Шампань</v>
      </c>
      <c r="H28" s="167"/>
      <c r="I28" s="55">
        <f>1*$J$21</f>
        <v>1</v>
      </c>
      <c r="J28" s="180"/>
      <c r="K28" s="181"/>
      <c r="L28" s="39"/>
    </row>
    <row r="29" spans="1:16" ht="15.4" x14ac:dyDescent="0.45">
      <c r="A29" s="36">
        <v>6</v>
      </c>
      <c r="B29" s="165" t="str" cm="1">
        <f t="array" aca="1" ref="B29" ca="1">"SOM0"&amp;OFFSET('Таблица с данными'!$B$9,MATCH($J$15,'Таблица с данными'!$B$10:$B$11,0),1,COUNTIFS('Таблица с данными'!$B$10:$B$11,$J$15),1)&amp;"7-3700"</f>
        <v>SOM07-3700</v>
      </c>
      <c r="C29" s="167"/>
      <c r="D29" s="168" t="s">
        <v>13</v>
      </c>
      <c r="E29" s="169"/>
      <c r="F29" s="170"/>
      <c r="G29" s="165" t="str">
        <f>$J$15</f>
        <v>Молочный</v>
      </c>
      <c r="H29" s="167"/>
      <c r="I29" s="55">
        <f t="shared" si="0"/>
        <v>1</v>
      </c>
      <c r="J29" s="180">
        <f>$J$12-24.4</f>
        <v>475.6</v>
      </c>
      <c r="K29" s="181"/>
      <c r="L29" s="39"/>
    </row>
    <row r="30" spans="1:16" ht="15.4" x14ac:dyDescent="0.45">
      <c r="A30" s="36">
        <v>7</v>
      </c>
      <c r="B30" s="165" t="str" cm="1">
        <f t="array" aca="1" ref="B30" ca="1">"305110"&amp;OFFSET('Таблица с данными'!$B$14,MATCH($J$16,'Таблица с данными'!$B$15:$B$16,0),1,COUNTIFS('Таблица с данными'!$B$15:$B$16,$J$16),1)&amp;"W-"&amp;OFFSET('Таблица с данными'!$B$18,MATCH($J$30,'Таблица с данными'!$B$19:$B$22,-1),0,1,1)</f>
        <v>305110WW-450</v>
      </c>
      <c r="C30" s="167"/>
      <c r="D30" s="168" t="s">
        <v>14</v>
      </c>
      <c r="E30" s="169"/>
      <c r="F30" s="170"/>
      <c r="G30" s="178" t="str">
        <f>$J$16</f>
        <v>Теплый</v>
      </c>
      <c r="H30" s="179"/>
      <c r="I30" s="55">
        <f t="shared" si="0"/>
        <v>1</v>
      </c>
      <c r="J30" s="180">
        <f>INT(($J$12-53)/25)*25</f>
        <v>425</v>
      </c>
      <c r="K30" s="181"/>
      <c r="L30" s="39"/>
    </row>
    <row r="31" spans="1:16" ht="15.75" customHeight="1" x14ac:dyDescent="0.45">
      <c r="A31" s="36">
        <v>8</v>
      </c>
      <c r="B31" s="165" t="str">
        <f>"09820"</f>
        <v>09820</v>
      </c>
      <c r="C31" s="167"/>
      <c r="D31" s="175" t="s">
        <v>17</v>
      </c>
      <c r="E31" s="176"/>
      <c r="F31" s="177"/>
      <c r="G31" s="168" t="str">
        <f>"-"</f>
        <v>-</v>
      </c>
      <c r="H31" s="170"/>
      <c r="I31" s="55">
        <f>4*$J$21</f>
        <v>4</v>
      </c>
      <c r="J31" s="180"/>
      <c r="K31" s="181"/>
      <c r="L31" s="39"/>
      <c r="P31" t="str">
        <f ca="1">IFERROR("ML."&amp;TEXT('Лист заказа Moonlight'!XFA16, "000.")&amp;TEXT('Лист заказа Moonlight'!XEZ16, "000.")&amp;OFFSET('Таблица с данными'!$B$14,MATCH('Лист заказа Moonlight'!XFD16,'Таблица с данными'!$B$15:$B$16,0),1,1,1)&amp;OFFSET('Таблица с данными'!$B$2,MATCH('Лист заказа Moonlight'!XFB16,'Таблица с данными'!$B$3:$B$6,0),1,1,1)&amp;OFFSET('Таблица с данными'!$B$25,MATCH('Лист заказа Moonlight'!#REF!,'Таблица с данными'!$B$26:$B$27,0),1,1,1)&amp;OFFSET('Таблица с данными'!$B$9,MATCH('Лист заказа Moonlight'!XFC16,'Таблица с данными'!$B$10:$B$11,0),1,1,1)&amp;OFFSET('Таблица с данными'!$B$30,MATCH('Лист заказа Moonlight'!A16,'Таблица с данными'!$B$31:$B$34,0),5,1,1),"")</f>
        <v/>
      </c>
    </row>
    <row r="32" spans="1:16" ht="15.75" customHeight="1" x14ac:dyDescent="0.45">
      <c r="A32" s="36">
        <v>9</v>
      </c>
      <c r="B32" s="165" t="str">
        <f>"09821"</f>
        <v>09821</v>
      </c>
      <c r="C32" s="167"/>
      <c r="D32" s="175" t="s">
        <v>18</v>
      </c>
      <c r="E32" s="176"/>
      <c r="F32" s="177"/>
      <c r="G32" s="168" t="str">
        <f>"-"</f>
        <v>-</v>
      </c>
      <c r="H32" s="170"/>
      <c r="I32" s="55">
        <f>4*$J$21</f>
        <v>4</v>
      </c>
      <c r="J32" s="180"/>
      <c r="K32" s="181"/>
      <c r="L32" s="39"/>
    </row>
    <row r="33" spans="1:16" ht="15.75" customHeight="1" x14ac:dyDescent="0.45">
      <c r="A33" s="36">
        <v>10</v>
      </c>
      <c r="B33" s="165">
        <v>88200</v>
      </c>
      <c r="C33" s="167"/>
      <c r="D33" s="175" t="s">
        <v>16</v>
      </c>
      <c r="E33" s="176"/>
      <c r="F33" s="177"/>
      <c r="G33" s="168" t="str">
        <f>"-"</f>
        <v>-</v>
      </c>
      <c r="H33" s="170"/>
      <c r="I33" s="55">
        <f>4*$J$21</f>
        <v>4</v>
      </c>
      <c r="J33" s="180"/>
      <c r="K33" s="181"/>
      <c r="L33" s="39"/>
    </row>
    <row r="34" spans="1:16" ht="15.4" x14ac:dyDescent="0.45">
      <c r="A34" s="36">
        <v>11</v>
      </c>
      <c r="B34" s="165">
        <v>303041</v>
      </c>
      <c r="C34" s="167"/>
      <c r="D34" s="168" t="s">
        <v>80</v>
      </c>
      <c r="E34" s="169"/>
      <c r="F34" s="170"/>
      <c r="G34" s="168" t="str">
        <f>"-"</f>
        <v>-</v>
      </c>
      <c r="H34" s="170"/>
      <c r="I34" s="55">
        <f t="shared" si="0"/>
        <v>1</v>
      </c>
      <c r="J34" s="180">
        <v>2000</v>
      </c>
      <c r="K34" s="181"/>
      <c r="L34" s="40"/>
    </row>
    <row r="35" spans="1:16" ht="15.4" x14ac:dyDescent="0.45">
      <c r="A35" s="36">
        <v>12</v>
      </c>
      <c r="B35" s="165" t="str" cm="1">
        <f t="array" aca="1" ref="B35" ca="1">OFFSET('Таблица с данными'!$B$42,MATCH($J$18&amp;$J$14,'Таблица с данными'!$B$43:$B$58&amp;'Таблица с данными'!$C$43:$C$58,0),2,1,1)</f>
        <v>B2-0812-MK</v>
      </c>
      <c r="C35" s="167"/>
      <c r="D35" s="165" t="str">
        <f>IF($J$18="Скрытый, врезной", "Комплект скрытых пд",IF($J$18=0,"Полкодержатели",IF($J$18="Нет","Полкодержатели",$J$18)))</f>
        <v>Комплект скрытых пд</v>
      </c>
      <c r="E35" s="166"/>
      <c r="F35" s="167"/>
      <c r="G35" s="165" t="str">
        <f>IF($D$35="Полкодержатели","-",IF($D$35="Граната, врезной","-",$J$14))</f>
        <v>Шампань</v>
      </c>
      <c r="H35" s="167"/>
      <c r="I35" s="56">
        <f ca="1">OFFSET('Таблица с данными'!$B$30,MATCH('Лист заказа Moonlight'!$H$16,'Таблица с данными'!$B$31:$B$34,0),4,1,1)*$J$21</f>
        <v>1</v>
      </c>
      <c r="J35" s="180"/>
      <c r="K35" s="181"/>
      <c r="L35" s="39"/>
      <c r="N35" s="90"/>
      <c r="O35" s="90"/>
      <c r="P35" s="90"/>
    </row>
    <row r="36" spans="1:16" ht="15.4" x14ac:dyDescent="0.4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6" ht="20.25" thickBot="1" x14ac:dyDescent="0.55000000000000004">
      <c r="A37" s="182" t="s">
        <v>71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</row>
    <row r="38" spans="1:16" ht="15.75" thickBot="1" x14ac:dyDescent="0.5">
      <c r="A38" s="151" t="s">
        <v>5</v>
      </c>
      <c r="B38" s="152"/>
      <c r="C38" s="183"/>
      <c r="D38" s="151" t="s">
        <v>6</v>
      </c>
      <c r="E38" s="152"/>
      <c r="F38" s="183"/>
      <c r="G38" s="151" t="s">
        <v>7</v>
      </c>
      <c r="H38" s="183"/>
      <c r="I38" s="151" t="s">
        <v>74</v>
      </c>
      <c r="J38" s="183"/>
      <c r="K38" s="145" t="s">
        <v>72</v>
      </c>
      <c r="L38" s="147"/>
    </row>
    <row r="39" spans="1:16" ht="15.75" customHeight="1" x14ac:dyDescent="0.45">
      <c r="A39" s="159" t="str" cm="1">
        <f t="array" aca="1" ref="A39" ca="1">"131.741.3760."&amp;OFFSET('Таблица с данными'!$B$2,MATCH('Лист заказа Moonlight'!$D$16,'Таблица с данными'!$B$3:$B$6,0),1,COUNTIFS('Таблица с данными'!$B$3:$B$6,'Лист заказа Moonlight'!$D$16),1)</f>
        <v>131.741.3760.C</v>
      </c>
      <c r="B39" s="160"/>
      <c r="C39" s="161"/>
      <c r="D39" s="162" t="s">
        <v>11</v>
      </c>
      <c r="E39" s="163"/>
      <c r="F39" s="164"/>
      <c r="G39" s="159" t="str">
        <f>$J$14</f>
        <v>Шампань</v>
      </c>
      <c r="H39" s="161"/>
      <c r="I39" s="159">
        <f>$J$24*$I$24</f>
        <v>497</v>
      </c>
      <c r="J39" s="161"/>
      <c r="K39" s="173">
        <f>$I$39/3760</f>
        <v>0.13218085106382979</v>
      </c>
      <c r="L39" s="174"/>
    </row>
    <row r="40" spans="1:16" ht="15.75" customHeight="1" x14ac:dyDescent="0.45">
      <c r="A40" s="165" t="str" cm="1">
        <f t="array" aca="1" ref="A40" ca="1">"131.740.3760."&amp;OFFSET('Таблица с данными'!$B$2,MATCH('Лист заказа Moonlight'!$D$16,'Таблица с данными'!$B$3:$B$6,0),1,COUNTIFS('Таблица с данными'!$B$3:$B$6,'Лист заказа Moonlight'!$D$16),1)</f>
        <v>131.740.3760.C</v>
      </c>
      <c r="B40" s="166"/>
      <c r="C40" s="167"/>
      <c r="D40" s="168" t="s">
        <v>73</v>
      </c>
      <c r="E40" s="169"/>
      <c r="F40" s="170"/>
      <c r="G40" s="165" t="str">
        <f>$J$14</f>
        <v>Шампань</v>
      </c>
      <c r="H40" s="167"/>
      <c r="I40" s="165">
        <f>$J$25*$I$25+$J$26*$I$26+$J$27*$I$27</f>
        <v>1453.6</v>
      </c>
      <c r="J40" s="167"/>
      <c r="K40" s="171">
        <f>$I$40/3760</f>
        <v>0.38659574468085106</v>
      </c>
      <c r="L40" s="172"/>
    </row>
    <row r="41" spans="1:16" ht="15.75" customHeight="1" x14ac:dyDescent="0.45">
      <c r="A41" s="165" t="str" cm="1">
        <f t="array" aca="1" ref="A41" ca="1">"SOM0"&amp;OFFSET('Таблица с данными'!$B$9,MATCH('Лист заказа Moonlight'!$E$16,'Таблица с данными'!$B$10:$B$11,0),1,COUNTIFS('Таблица с данными'!$B$10:$B$11,'Лист заказа Moonlight'!$E$16),1)&amp;"7-3700"</f>
        <v>SOM07-3700</v>
      </c>
      <c r="B41" s="166"/>
      <c r="C41" s="167"/>
      <c r="D41" s="168" t="s">
        <v>13</v>
      </c>
      <c r="E41" s="169"/>
      <c r="F41" s="170"/>
      <c r="G41" s="165" t="str">
        <f>$J$15</f>
        <v>Молочный</v>
      </c>
      <c r="H41" s="167"/>
      <c r="I41" s="165">
        <f>$J$29*$I$29</f>
        <v>475.6</v>
      </c>
      <c r="J41" s="167"/>
      <c r="K41" s="171">
        <f>$I$41/3700</f>
        <v>0.12854054054054054</v>
      </c>
      <c r="L41" s="172"/>
    </row>
    <row r="42" spans="1:16" ht="15.4" x14ac:dyDescent="0.4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6" ht="15.4" x14ac:dyDescent="0.4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6" ht="19.899999999999999" x14ac:dyDescent="0.5">
      <c r="A44" s="123" t="s">
        <v>66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</row>
    <row r="45" spans="1:16" ht="15.75" thickBot="1" x14ac:dyDescent="0.5">
      <c r="A45" s="41"/>
      <c r="B45" s="41"/>
      <c r="C45" s="41"/>
      <c r="D45" s="41"/>
      <c r="E45" s="41"/>
      <c r="F45" s="41"/>
      <c r="G45" s="41"/>
      <c r="H45" s="41"/>
      <c r="I45" s="41"/>
      <c r="J45" s="42"/>
      <c r="K45" s="42"/>
      <c r="L45" s="26"/>
    </row>
    <row r="46" spans="1:16" ht="15.75" thickBot="1" x14ac:dyDescent="0.5">
      <c r="A46" s="41"/>
      <c r="B46" s="41"/>
      <c r="C46" s="41"/>
      <c r="D46" s="41"/>
      <c r="E46" s="41"/>
      <c r="F46" s="153" t="s">
        <v>64</v>
      </c>
      <c r="G46" s="154"/>
      <c r="H46" s="154"/>
      <c r="I46" s="155"/>
      <c r="J46" s="156">
        <f>J25</f>
        <v>489</v>
      </c>
      <c r="K46" s="156"/>
      <c r="L46" s="157"/>
    </row>
    <row r="47" spans="1:16" ht="15.75" thickBot="1" x14ac:dyDescent="0.5">
      <c r="A47" s="41"/>
      <c r="B47" s="41"/>
      <c r="C47" s="41"/>
      <c r="D47" s="41"/>
      <c r="E47" s="41"/>
      <c r="F47" s="153" t="s">
        <v>90</v>
      </c>
      <c r="G47" s="154"/>
      <c r="H47" s="154"/>
      <c r="I47" s="155"/>
      <c r="J47" s="158" t="str">
        <f>$J$19</f>
        <v/>
      </c>
      <c r="K47" s="156"/>
      <c r="L47" s="157"/>
    </row>
    <row r="48" spans="1:16" ht="15.75" thickBot="1" x14ac:dyDescent="0.5">
      <c r="A48" s="41"/>
      <c r="B48" s="41"/>
      <c r="C48" s="41"/>
      <c r="D48" s="41"/>
      <c r="E48" s="41"/>
      <c r="F48" s="153" t="s">
        <v>89</v>
      </c>
      <c r="G48" s="154"/>
      <c r="H48" s="154"/>
      <c r="I48" s="155"/>
      <c r="J48" s="158" t="str">
        <f>$J$20</f>
        <v/>
      </c>
      <c r="K48" s="156"/>
      <c r="L48" s="157"/>
    </row>
    <row r="49" spans="1:12" ht="15.75" thickBot="1" x14ac:dyDescent="0.5">
      <c r="A49" s="41"/>
      <c r="B49" s="41"/>
      <c r="C49" s="41"/>
      <c r="D49" s="41"/>
      <c r="E49" s="41"/>
      <c r="F49" s="153" t="s">
        <v>52</v>
      </c>
      <c r="G49" s="154"/>
      <c r="H49" s="154"/>
      <c r="I49" s="155"/>
      <c r="J49" s="158" t="str">
        <f>$J$21&amp;"*2"</f>
        <v>1*2</v>
      </c>
      <c r="K49" s="156"/>
      <c r="L49" s="157"/>
    </row>
    <row r="50" spans="1:12" ht="15.4" x14ac:dyDescent="0.45">
      <c r="A50" s="41"/>
      <c r="B50" s="41"/>
      <c r="C50" s="41"/>
      <c r="D50" s="41"/>
      <c r="E50" s="41"/>
      <c r="F50" s="41"/>
      <c r="G50" s="41"/>
      <c r="H50" s="44"/>
      <c r="I50" s="44"/>
      <c r="J50" s="44"/>
      <c r="K50" s="46"/>
      <c r="L50" s="26"/>
    </row>
    <row r="51" spans="1:12" ht="15.4" x14ac:dyDescent="0.45">
      <c r="A51" s="41"/>
      <c r="B51" s="41"/>
      <c r="C51" s="41"/>
      <c r="D51" s="41"/>
      <c r="E51" s="41"/>
      <c r="F51" s="41"/>
      <c r="G51" s="41"/>
      <c r="H51" s="28"/>
      <c r="I51" s="28"/>
      <c r="J51" s="28"/>
      <c r="K51" s="28"/>
      <c r="L51" s="26"/>
    </row>
    <row r="52" spans="1:12" ht="15.4" x14ac:dyDescent="0.45">
      <c r="A52" s="41"/>
      <c r="B52" s="41"/>
      <c r="C52" s="41"/>
      <c r="D52" s="41"/>
      <c r="E52" s="41"/>
      <c r="F52" s="41"/>
      <c r="G52" s="41"/>
      <c r="H52" s="28"/>
      <c r="I52" s="28"/>
      <c r="J52" s="28"/>
      <c r="K52" s="28"/>
      <c r="L52" s="26"/>
    </row>
    <row r="53" spans="1:12" ht="15.4" x14ac:dyDescent="0.45">
      <c r="A53" s="41"/>
      <c r="B53" s="41"/>
      <c r="C53" s="41"/>
      <c r="D53" s="41"/>
      <c r="E53" s="41"/>
      <c r="F53" s="41"/>
      <c r="G53" s="41"/>
      <c r="H53" s="44"/>
      <c r="I53" s="44"/>
      <c r="J53" s="44"/>
      <c r="K53" s="44"/>
      <c r="L53" s="45"/>
    </row>
    <row r="54" spans="1:12" ht="15.75" thickBot="1" x14ac:dyDescent="0.5">
      <c r="A54" s="28"/>
      <c r="B54" s="28"/>
      <c r="C54" s="28"/>
      <c r="D54" s="28"/>
      <c r="E54" s="28"/>
      <c r="F54" s="28"/>
      <c r="G54" s="28"/>
      <c r="H54" s="28"/>
      <c r="I54" s="28"/>
      <c r="J54" s="35"/>
      <c r="K54" s="35"/>
      <c r="L54" s="26"/>
    </row>
    <row r="55" spans="1:12" ht="16.5" customHeight="1" thickBot="1" x14ac:dyDescent="0.5">
      <c r="A55" s="151" t="s">
        <v>59</v>
      </c>
      <c r="B55" s="152"/>
      <c r="C55" s="152"/>
      <c r="D55" s="152"/>
      <c r="E55" s="152"/>
      <c r="F55" s="152"/>
      <c r="G55" s="145" t="s">
        <v>60</v>
      </c>
      <c r="H55" s="146"/>
      <c r="I55" s="146"/>
      <c r="J55" s="146"/>
      <c r="K55" s="146"/>
      <c r="L55" s="147"/>
    </row>
    <row r="56" spans="1:12" ht="15.75" thickBot="1" x14ac:dyDescent="0.5">
      <c r="A56" s="149"/>
      <c r="B56" s="149"/>
      <c r="C56" s="149"/>
      <c r="D56" s="149"/>
      <c r="E56" s="149"/>
      <c r="F56" s="149"/>
      <c r="G56" s="148"/>
      <c r="H56" s="149"/>
      <c r="I56" s="149"/>
      <c r="J56" s="149"/>
      <c r="K56" s="149"/>
      <c r="L56" s="150"/>
    </row>
  </sheetData>
  <sheetProtection algorithmName="SHA-512" hashValue="tuG+pLW3ySoZCPjpfyfKC2NAxcycK4OuKgR0tG2ov9UToTll7PW44atD1kJ/TGnT0FO2ZYy/m9CRq90UNhfSHQ==" saltValue="gDdaY9ADcy2VSRdPqiMXSg==" spinCount="100000" sheet="1" objects="1" scenarios="1"/>
  <mergeCells count="112">
    <mergeCell ref="G14:I14"/>
    <mergeCell ref="J14:L14"/>
    <mergeCell ref="G15:I15"/>
    <mergeCell ref="J15:L15"/>
    <mergeCell ref="G16:I16"/>
    <mergeCell ref="J16:L16"/>
    <mergeCell ref="G17:I17"/>
    <mergeCell ref="J17:L17"/>
    <mergeCell ref="B24:C24"/>
    <mergeCell ref="J23:K23"/>
    <mergeCell ref="J24:K24"/>
    <mergeCell ref="G18:I18"/>
    <mergeCell ref="J18:L18"/>
    <mergeCell ref="G19:I19"/>
    <mergeCell ref="J19:L19"/>
    <mergeCell ref="G20:I20"/>
    <mergeCell ref="J20:L20"/>
    <mergeCell ref="G21:I21"/>
    <mergeCell ref="J21:L21"/>
    <mergeCell ref="B23:C23"/>
    <mergeCell ref="D23:F23"/>
    <mergeCell ref="G23:H23"/>
    <mergeCell ref="A7:L7"/>
    <mergeCell ref="A8:L8"/>
    <mergeCell ref="G10:I10"/>
    <mergeCell ref="J10:L10"/>
    <mergeCell ref="G11:I11"/>
    <mergeCell ref="J11:L11"/>
    <mergeCell ref="G12:I12"/>
    <mergeCell ref="J12:L12"/>
    <mergeCell ref="G13:I13"/>
    <mergeCell ref="J13:L13"/>
    <mergeCell ref="J34:K34"/>
    <mergeCell ref="J35:K35"/>
    <mergeCell ref="A37:L37"/>
    <mergeCell ref="A38:C38"/>
    <mergeCell ref="D38:F38"/>
    <mergeCell ref="I38:J38"/>
    <mergeCell ref="K38:L38"/>
    <mergeCell ref="G38:H38"/>
    <mergeCell ref="B34:C34"/>
    <mergeCell ref="D34:F34"/>
    <mergeCell ref="G34:H34"/>
    <mergeCell ref="B35:C35"/>
    <mergeCell ref="D35:F35"/>
    <mergeCell ref="G35:H35"/>
    <mergeCell ref="J25:K25"/>
    <mergeCell ref="J26:K26"/>
    <mergeCell ref="J27:K27"/>
    <mergeCell ref="J28:K28"/>
    <mergeCell ref="J29:K29"/>
    <mergeCell ref="J30:K30"/>
    <mergeCell ref="J31:K31"/>
    <mergeCell ref="J32:K32"/>
    <mergeCell ref="J33:K33"/>
    <mergeCell ref="B25:C25"/>
    <mergeCell ref="D25:F25"/>
    <mergeCell ref="G25:H25"/>
    <mergeCell ref="B26:C26"/>
    <mergeCell ref="D26:F26"/>
    <mergeCell ref="G26:H26"/>
    <mergeCell ref="D24:F24"/>
    <mergeCell ref="G24:H24"/>
    <mergeCell ref="B27:C27"/>
    <mergeCell ref="D27:F27"/>
    <mergeCell ref="G27:H27"/>
    <mergeCell ref="B28:C28"/>
    <mergeCell ref="D28:F28"/>
    <mergeCell ref="G28:H28"/>
    <mergeCell ref="B29:C29"/>
    <mergeCell ref="D29:F29"/>
    <mergeCell ref="G29:H29"/>
    <mergeCell ref="B30:C30"/>
    <mergeCell ref="D30:F30"/>
    <mergeCell ref="G30:H30"/>
    <mergeCell ref="B31:C31"/>
    <mergeCell ref="D31:F31"/>
    <mergeCell ref="G31:H31"/>
    <mergeCell ref="B32:C32"/>
    <mergeCell ref="D32:F32"/>
    <mergeCell ref="G32:H32"/>
    <mergeCell ref="B33:C33"/>
    <mergeCell ref="D33:F33"/>
    <mergeCell ref="G33:H33"/>
    <mergeCell ref="A39:C39"/>
    <mergeCell ref="D39:F39"/>
    <mergeCell ref="A40:C40"/>
    <mergeCell ref="D40:F40"/>
    <mergeCell ref="A41:C41"/>
    <mergeCell ref="D41:F41"/>
    <mergeCell ref="A44:L44"/>
    <mergeCell ref="G41:H41"/>
    <mergeCell ref="I41:J41"/>
    <mergeCell ref="K41:L41"/>
    <mergeCell ref="G40:H40"/>
    <mergeCell ref="I39:J39"/>
    <mergeCell ref="I40:J40"/>
    <mergeCell ref="K40:L40"/>
    <mergeCell ref="G39:H39"/>
    <mergeCell ref="K39:L39"/>
    <mergeCell ref="G55:L55"/>
    <mergeCell ref="G56:L56"/>
    <mergeCell ref="A55:F55"/>
    <mergeCell ref="A56:F56"/>
    <mergeCell ref="F46:I46"/>
    <mergeCell ref="J46:L46"/>
    <mergeCell ref="F47:I47"/>
    <mergeCell ref="J47:L47"/>
    <mergeCell ref="F48:I48"/>
    <mergeCell ref="F49:I49"/>
    <mergeCell ref="J49:L49"/>
    <mergeCell ref="J48:L48"/>
  </mergeCells>
  <pageMargins left="0.7" right="0.7" top="0.75" bottom="0.75" header="0.3" footer="0.3"/>
  <pageSetup paperSize="9" scale="7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E8E66-A330-4F76-B71C-F7D6BA8E6997}">
  <sheetPr codeName="Лист5">
    <pageSetUpPr fitToPage="1"/>
  </sheetPr>
  <dimension ref="A1:L56"/>
  <sheetViews>
    <sheetView zoomScaleNormal="100" workbookViewId="0">
      <selection activeCell="A8" sqref="A8:L8"/>
    </sheetView>
  </sheetViews>
  <sheetFormatPr defaultRowHeight="14.25" x14ac:dyDescent="0.45"/>
  <sheetData>
    <row r="1" spans="1:12" ht="15.4" x14ac:dyDescent="0.45">
      <c r="A1" s="26"/>
      <c r="B1" s="26"/>
      <c r="C1" s="26"/>
      <c r="D1" s="26"/>
      <c r="E1" s="26"/>
      <c r="F1" s="26"/>
      <c r="G1" s="26"/>
      <c r="H1" s="26"/>
      <c r="I1" s="26"/>
      <c r="J1" s="27"/>
      <c r="K1" s="27"/>
      <c r="L1" s="26"/>
    </row>
    <row r="2" spans="1:12" ht="15.4" x14ac:dyDescent="0.45">
      <c r="A2" s="26"/>
      <c r="B2" s="26"/>
      <c r="C2" s="26"/>
      <c r="D2" s="26"/>
      <c r="E2" s="26"/>
      <c r="F2" s="26"/>
      <c r="G2" s="26"/>
      <c r="H2" s="26"/>
      <c r="I2" s="26"/>
      <c r="J2" s="27"/>
      <c r="K2" s="27"/>
      <c r="L2" s="26"/>
    </row>
    <row r="3" spans="1:12" ht="15.4" x14ac:dyDescent="0.45">
      <c r="A3" s="26"/>
      <c r="B3" s="26"/>
      <c r="C3" s="26"/>
      <c r="D3" s="26"/>
      <c r="E3" s="26"/>
      <c r="F3" s="26"/>
      <c r="G3" s="26"/>
      <c r="H3" s="26"/>
      <c r="I3" s="26"/>
      <c r="J3" s="27"/>
      <c r="K3" s="27"/>
      <c r="L3" s="26"/>
    </row>
    <row r="4" spans="1:12" ht="15.4" x14ac:dyDescent="0.45">
      <c r="A4" s="26"/>
      <c r="B4" s="26"/>
      <c r="C4" s="26"/>
      <c r="D4" s="26"/>
      <c r="E4" s="26"/>
      <c r="F4" s="26"/>
      <c r="G4" s="26"/>
      <c r="H4" s="26"/>
      <c r="I4" s="26"/>
      <c r="J4" s="27"/>
      <c r="K4" s="27"/>
      <c r="L4" s="26"/>
    </row>
    <row r="5" spans="1:12" ht="15.4" x14ac:dyDescent="0.45">
      <c r="A5" s="26"/>
      <c r="B5" s="26"/>
      <c r="C5" s="26"/>
      <c r="D5" s="26"/>
      <c r="E5" s="26"/>
      <c r="F5" s="26"/>
      <c r="G5" s="26"/>
      <c r="H5" s="26"/>
      <c r="I5" s="26"/>
      <c r="J5" s="27"/>
      <c r="K5" s="27"/>
      <c r="L5" s="26"/>
    </row>
    <row r="6" spans="1:12" ht="15.4" x14ac:dyDescent="0.45">
      <c r="A6" s="26"/>
      <c r="B6" s="26"/>
      <c r="C6" s="26"/>
      <c r="D6" s="26"/>
      <c r="E6" s="26"/>
      <c r="F6" s="26"/>
      <c r="G6" s="26"/>
      <c r="H6" s="26"/>
      <c r="I6" s="26"/>
      <c r="J6" s="27"/>
      <c r="K6" s="27"/>
      <c r="L6" s="26"/>
    </row>
    <row r="7" spans="1:12" ht="19.899999999999999" x14ac:dyDescent="0.5">
      <c r="A7" s="123" t="str">
        <f ca="1">"Спецификация арт. " &amp; 'Лист заказа Moonlight'!$K$17</f>
        <v xml:space="preserve">Спецификация арт. 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</row>
    <row r="8" spans="1:12" ht="17.25" x14ac:dyDescent="0.45">
      <c r="A8" s="184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</row>
    <row r="9" spans="1:12" ht="15.75" thickBot="1" x14ac:dyDescent="0.5">
      <c r="A9" s="26"/>
      <c r="B9" s="26"/>
      <c r="C9" s="26"/>
      <c r="D9" s="26"/>
      <c r="E9" s="26"/>
      <c r="F9" s="26"/>
      <c r="G9" s="26"/>
      <c r="H9" s="26"/>
      <c r="I9" s="26"/>
      <c r="J9" s="27"/>
      <c r="K9" s="27"/>
      <c r="L9" s="26"/>
    </row>
    <row r="10" spans="1:12" ht="15.75" thickBot="1" x14ac:dyDescent="0.5">
      <c r="A10" s="26"/>
      <c r="B10" s="26"/>
      <c r="C10" s="26"/>
      <c r="D10" s="26"/>
      <c r="E10" s="26"/>
      <c r="F10" s="28"/>
      <c r="G10" s="185" t="s">
        <v>41</v>
      </c>
      <c r="H10" s="186"/>
      <c r="I10" s="187"/>
      <c r="J10" s="191">
        <f>'Лист заказа Moonlight'!$D$8</f>
        <v>0</v>
      </c>
      <c r="K10" s="189"/>
      <c r="L10" s="190"/>
    </row>
    <row r="11" spans="1:12" ht="15.75" thickBot="1" x14ac:dyDescent="0.5">
      <c r="A11" s="26"/>
      <c r="B11" s="26"/>
      <c r="C11" s="26"/>
      <c r="D11" s="26"/>
      <c r="E11" s="26"/>
      <c r="F11" s="28"/>
      <c r="G11" s="185" t="s">
        <v>54</v>
      </c>
      <c r="H11" s="186"/>
      <c r="I11" s="187"/>
      <c r="J11" s="191">
        <v>2</v>
      </c>
      <c r="K11" s="189"/>
      <c r="L11" s="190"/>
    </row>
    <row r="12" spans="1:12" ht="15.75" thickBot="1" x14ac:dyDescent="0.5">
      <c r="A12" s="26"/>
      <c r="B12" s="26"/>
      <c r="C12" s="26"/>
      <c r="D12" s="26"/>
      <c r="E12" s="26"/>
      <c r="F12" s="28"/>
      <c r="G12" s="185" t="s">
        <v>0</v>
      </c>
      <c r="H12" s="186"/>
      <c r="I12" s="187"/>
      <c r="J12" s="191">
        <f>'Лист заказа Moonlight'!$B$17</f>
        <v>0</v>
      </c>
      <c r="K12" s="189"/>
      <c r="L12" s="190"/>
    </row>
    <row r="13" spans="1:12" ht="15.75" thickBot="1" x14ac:dyDescent="0.5">
      <c r="A13" s="26"/>
      <c r="B13" s="26"/>
      <c r="C13" s="26"/>
      <c r="D13" s="26"/>
      <c r="E13" s="26"/>
      <c r="F13" s="28"/>
      <c r="G13" s="192" t="s">
        <v>1</v>
      </c>
      <c r="H13" s="193"/>
      <c r="I13" s="194"/>
      <c r="J13" s="191">
        <f>'Лист заказа Moonlight'!$C$17</f>
        <v>0</v>
      </c>
      <c r="K13" s="189"/>
      <c r="L13" s="190"/>
    </row>
    <row r="14" spans="1:12" ht="15.75" thickBot="1" x14ac:dyDescent="0.5">
      <c r="A14" s="26"/>
      <c r="B14" s="26"/>
      <c r="C14" s="26"/>
      <c r="D14" s="26"/>
      <c r="E14" s="26"/>
      <c r="F14" s="28"/>
      <c r="G14" s="185" t="s">
        <v>2</v>
      </c>
      <c r="H14" s="186"/>
      <c r="I14" s="187"/>
      <c r="J14" s="191">
        <f>'Лист заказа Moonlight'!$D$17</f>
        <v>0</v>
      </c>
      <c r="K14" s="189"/>
      <c r="L14" s="190"/>
    </row>
    <row r="15" spans="1:12" ht="15.75" thickBot="1" x14ac:dyDescent="0.5">
      <c r="A15" s="26"/>
      <c r="B15" s="26"/>
      <c r="C15" s="32"/>
      <c r="D15" s="26"/>
      <c r="E15" s="26"/>
      <c r="F15" s="28"/>
      <c r="G15" s="185" t="s">
        <v>3</v>
      </c>
      <c r="H15" s="186"/>
      <c r="I15" s="187"/>
      <c r="J15" s="191">
        <f>'Лист заказа Moonlight'!$E$17</f>
        <v>0</v>
      </c>
      <c r="K15" s="189"/>
      <c r="L15" s="190"/>
    </row>
    <row r="16" spans="1:12" ht="15.75" thickBot="1" x14ac:dyDescent="0.5">
      <c r="A16" s="26"/>
      <c r="B16" s="26"/>
      <c r="C16" s="26"/>
      <c r="D16" s="26"/>
      <c r="E16" s="26"/>
      <c r="F16" s="28"/>
      <c r="G16" s="195" t="s">
        <v>4</v>
      </c>
      <c r="H16" s="196"/>
      <c r="I16" s="197"/>
      <c r="J16" s="191">
        <f>'Лист заказа Moonlight'!$F$17</f>
        <v>0</v>
      </c>
      <c r="K16" s="189"/>
      <c r="L16" s="190"/>
    </row>
    <row r="17" spans="1:12" ht="15.75" thickBot="1" x14ac:dyDescent="0.5">
      <c r="A17" s="26"/>
      <c r="B17" s="26"/>
      <c r="C17" s="26"/>
      <c r="D17" s="26"/>
      <c r="E17" s="26"/>
      <c r="F17" s="28"/>
      <c r="G17" s="185" t="s">
        <v>34</v>
      </c>
      <c r="H17" s="186"/>
      <c r="I17" s="187"/>
      <c r="J17" s="191">
        <f>'Лист заказа Moonlight'!$G$17</f>
        <v>0</v>
      </c>
      <c r="K17" s="189"/>
      <c r="L17" s="190"/>
    </row>
    <row r="18" spans="1:12" ht="16.5" customHeight="1" thickBot="1" x14ac:dyDescent="0.5">
      <c r="A18" s="33"/>
      <c r="B18" s="33"/>
      <c r="C18" s="33"/>
      <c r="D18" s="33"/>
      <c r="E18" s="33"/>
      <c r="F18" s="28"/>
      <c r="G18" s="200" t="s">
        <v>49</v>
      </c>
      <c r="H18" s="201"/>
      <c r="I18" s="202"/>
      <c r="J18" s="191" t="str">
        <f>IF('Лист заказа Moonlight'!$H$17=0,"",'Лист заказа Moonlight'!$H$17)</f>
        <v/>
      </c>
      <c r="K18" s="189"/>
      <c r="L18" s="190"/>
    </row>
    <row r="19" spans="1:12" ht="15.75" thickBot="1" x14ac:dyDescent="0.5">
      <c r="A19" s="26"/>
      <c r="B19" s="26"/>
      <c r="C19" s="26"/>
      <c r="D19" s="26"/>
      <c r="E19" s="26"/>
      <c r="F19" s="28"/>
      <c r="G19" s="192" t="s">
        <v>92</v>
      </c>
      <c r="H19" s="193"/>
      <c r="I19" s="194"/>
      <c r="J19" s="191" t="str">
        <f>IF('Лист заказа Moonlight'!$I$17=0,"",'Лист заказа Moonlight'!$I$17-11)</f>
        <v/>
      </c>
      <c r="K19" s="189"/>
      <c r="L19" s="190"/>
    </row>
    <row r="20" spans="1:12" ht="15.75" thickBot="1" x14ac:dyDescent="0.5">
      <c r="A20" s="26"/>
      <c r="B20" s="26"/>
      <c r="C20" s="26"/>
      <c r="D20" s="26"/>
      <c r="E20" s="26"/>
      <c r="F20" s="28"/>
      <c r="G20" s="185" t="s">
        <v>89</v>
      </c>
      <c r="H20" s="186"/>
      <c r="I20" s="187"/>
      <c r="J20" s="191" t="str">
        <f>IF('Лист заказа Moonlight'!$J$17=0,"",'Лист заказа Moonlight'!$J$17)</f>
        <v/>
      </c>
      <c r="K20" s="189"/>
      <c r="L20" s="190"/>
    </row>
    <row r="21" spans="1:12" ht="16.5" customHeight="1" thickBot="1" x14ac:dyDescent="0.5">
      <c r="A21" s="26"/>
      <c r="B21" s="26"/>
      <c r="C21" s="26"/>
      <c r="D21" s="26"/>
      <c r="E21" s="26"/>
      <c r="F21" s="28"/>
      <c r="G21" s="185" t="s">
        <v>52</v>
      </c>
      <c r="H21" s="186"/>
      <c r="I21" s="187"/>
      <c r="J21" s="203">
        <f>'Лист заказа Moonlight'!$N$17</f>
        <v>0</v>
      </c>
      <c r="K21" s="189"/>
      <c r="L21" s="190"/>
    </row>
    <row r="22" spans="1:12" ht="15.75" thickBot="1" x14ac:dyDescent="0.5">
      <c r="A22" s="26"/>
      <c r="B22" s="26"/>
      <c r="C22" s="26"/>
      <c r="D22" s="26"/>
      <c r="E22" s="26"/>
      <c r="F22" s="26"/>
      <c r="G22" s="26"/>
      <c r="H22" s="26"/>
      <c r="I22" s="26"/>
      <c r="J22" s="27"/>
      <c r="K22" s="27"/>
      <c r="L22" s="26"/>
    </row>
    <row r="23" spans="1:12" ht="15.75" thickBot="1" x14ac:dyDescent="0.5">
      <c r="A23" s="52" t="s">
        <v>65</v>
      </c>
      <c r="B23" s="151" t="s">
        <v>5</v>
      </c>
      <c r="C23" s="183"/>
      <c r="D23" s="151" t="s">
        <v>6</v>
      </c>
      <c r="E23" s="152"/>
      <c r="F23" s="183"/>
      <c r="G23" s="151" t="s">
        <v>7</v>
      </c>
      <c r="H23" s="183"/>
      <c r="I23" s="52" t="s">
        <v>8</v>
      </c>
      <c r="J23" s="145" t="s">
        <v>9</v>
      </c>
      <c r="K23" s="147"/>
      <c r="L23" s="53" t="s">
        <v>55</v>
      </c>
    </row>
    <row r="24" spans="1:12" ht="15.4" x14ac:dyDescent="0.45">
      <c r="A24" s="37">
        <v>1</v>
      </c>
      <c r="B24" s="159" t="e" cm="1">
        <f t="array" aca="1" ref="B24" ca="1">"131.741.3760."&amp;OFFSET('Таблица с данными'!$B$2,MATCH($J$14,'Таблица с данными'!$B$3:$B$6,0),1,COUNTIFS('Таблица с данными'!$B$3:$B$6,$J$14),1)</f>
        <v>#N/A</v>
      </c>
      <c r="C24" s="161"/>
      <c r="D24" s="162" t="s">
        <v>11</v>
      </c>
      <c r="E24" s="163"/>
      <c r="F24" s="164"/>
      <c r="G24" s="159">
        <f>$J$14</f>
        <v>0</v>
      </c>
      <c r="H24" s="161"/>
      <c r="I24" s="55">
        <f>1*$J$21</f>
        <v>0</v>
      </c>
      <c r="J24" s="198">
        <f>$J$12-3</f>
        <v>-3</v>
      </c>
      <c r="K24" s="199"/>
      <c r="L24" s="38"/>
    </row>
    <row r="25" spans="1:12" ht="15.4" x14ac:dyDescent="0.45">
      <c r="A25" s="36">
        <v>2</v>
      </c>
      <c r="B25" s="165" t="e" cm="1">
        <f t="array" aca="1" ref="B25" ca="1">"131.740.3760."&amp;OFFSET('Таблица с данными'!$B$2,MATCH($J$14,'Таблица с данными'!$B$3:$B$6,0),1,COUNTIFS('Таблица с данными'!$B$3:$B$6,$J$14),1)</f>
        <v>#N/A</v>
      </c>
      <c r="C25" s="167"/>
      <c r="D25" s="168" t="s">
        <v>37</v>
      </c>
      <c r="E25" s="169"/>
      <c r="F25" s="170"/>
      <c r="G25" s="165">
        <f>$J$14</f>
        <v>0</v>
      </c>
      <c r="H25" s="167"/>
      <c r="I25" s="55">
        <f t="shared" ref="I25:I27" si="0">1*$J$21</f>
        <v>0</v>
      </c>
      <c r="J25" s="180">
        <f>$J$13-11</f>
        <v>-11</v>
      </c>
      <c r="K25" s="181"/>
      <c r="L25" s="39"/>
    </row>
    <row r="26" spans="1:12" ht="15.4" x14ac:dyDescent="0.45">
      <c r="A26" s="36">
        <v>3</v>
      </c>
      <c r="B26" s="165" t="e" cm="1">
        <f t="array" aca="1" ref="B26" ca="1">"131.740.3760."&amp;OFFSET('Таблица с данными'!$B$2,MATCH($J$14,'Таблица с данными'!$B$3:$B$6,0),1,COUNTIFS('Таблица с данными'!$B$3:$B$6,$J$14),1)</f>
        <v>#N/A</v>
      </c>
      <c r="C26" s="167"/>
      <c r="D26" s="168" t="s">
        <v>38</v>
      </c>
      <c r="E26" s="169"/>
      <c r="F26" s="170"/>
      <c r="G26" s="165">
        <f>$J$14</f>
        <v>0</v>
      </c>
      <c r="H26" s="167"/>
      <c r="I26" s="55">
        <f t="shared" si="0"/>
        <v>0</v>
      </c>
      <c r="J26" s="180">
        <f>$J$13-11</f>
        <v>-11</v>
      </c>
      <c r="K26" s="181"/>
      <c r="L26" s="39"/>
    </row>
    <row r="27" spans="1:12" ht="15.4" x14ac:dyDescent="0.45">
      <c r="A27" s="36">
        <v>4</v>
      </c>
      <c r="B27" s="165" t="e" cm="1">
        <f t="array" aca="1" ref="B27" ca="1">"131.740.3760."&amp;OFFSET('Таблица с данными'!$B$2,MATCH($J$14,'Таблица с данными'!$B$3:$B$6,0),1,COUNTIFS('Таблица с данными'!$B$3:$B$6,$J$14),1)</f>
        <v>#N/A</v>
      </c>
      <c r="C27" s="167"/>
      <c r="D27" s="168" t="s">
        <v>12</v>
      </c>
      <c r="E27" s="169"/>
      <c r="F27" s="170"/>
      <c r="G27" s="165">
        <f>$J$14</f>
        <v>0</v>
      </c>
      <c r="H27" s="167"/>
      <c r="I27" s="55">
        <f t="shared" si="0"/>
        <v>0</v>
      </c>
      <c r="J27" s="180">
        <f>$J$12-24.4</f>
        <v>-24.4</v>
      </c>
      <c r="K27" s="181"/>
      <c r="L27" s="39"/>
    </row>
    <row r="28" spans="1:12" ht="15.4" x14ac:dyDescent="0.45">
      <c r="A28" s="36">
        <v>5</v>
      </c>
      <c r="B28" s="165" t="e" cm="1">
        <f t="array" aca="1" ref="B28" ca="1">"00-00002568"&amp;OFFSET('Таблица с данными'!$B$2,MATCH($J$14,'Таблица с данными'!$B$3:$B$6,0),1,COUNTIFS('Таблица с данными'!$B$3:$B$6,$J$14),1)</f>
        <v>#N/A</v>
      </c>
      <c r="C28" s="167"/>
      <c r="D28" s="168" t="s">
        <v>15</v>
      </c>
      <c r="E28" s="169"/>
      <c r="F28" s="170"/>
      <c r="G28" s="165">
        <f t="shared" ref="G28" si="1">$J$14</f>
        <v>0</v>
      </c>
      <c r="H28" s="167"/>
      <c r="I28" s="55">
        <f>1*$J$21</f>
        <v>0</v>
      </c>
      <c r="J28" s="180"/>
      <c r="K28" s="181"/>
      <c r="L28" s="39"/>
    </row>
    <row r="29" spans="1:12" ht="15.4" x14ac:dyDescent="0.45">
      <c r="A29" s="36">
        <v>6</v>
      </c>
      <c r="B29" s="165" t="e" cm="1">
        <f t="array" aca="1" ref="B29" ca="1">"SOM0"&amp;OFFSET('Таблица с данными'!$B$9,MATCH($J$15,'Таблица с данными'!$B$10:$B$11,0),1,COUNTIFS('Таблица с данными'!$B$10:$B$11,$J$15),1)&amp;"7-3700"</f>
        <v>#N/A</v>
      </c>
      <c r="C29" s="167"/>
      <c r="D29" s="168" t="s">
        <v>13</v>
      </c>
      <c r="E29" s="169"/>
      <c r="F29" s="170"/>
      <c r="G29" s="165">
        <f>$J$15</f>
        <v>0</v>
      </c>
      <c r="H29" s="167"/>
      <c r="I29" s="55">
        <f t="shared" ref="I29:I34" si="2">1*$J$21</f>
        <v>0</v>
      </c>
      <c r="J29" s="180">
        <f>$J$12-24.4</f>
        <v>-24.4</v>
      </c>
      <c r="K29" s="181"/>
      <c r="L29" s="39"/>
    </row>
    <row r="30" spans="1:12" ht="15.4" x14ac:dyDescent="0.45">
      <c r="A30" s="36">
        <v>7</v>
      </c>
      <c r="B30" s="165" t="e" cm="1">
        <f t="array" aca="1" ref="B30" ca="1">"305110"&amp;OFFSET('Таблица с данными'!$B$14,MATCH($J$16,'Таблица с данными'!$B$15:$B$16,0),1,COUNTIFS('Таблица с данными'!$B$15:$B$16,$J$16),1)&amp;"W-"&amp;OFFSET('Таблица с данными'!$B$18,MATCH($J$30,'Таблица с данными'!$B$19:$B$22,-1),0,1,1)</f>
        <v>#N/A</v>
      </c>
      <c r="C30" s="167"/>
      <c r="D30" s="168" t="s">
        <v>14</v>
      </c>
      <c r="E30" s="169"/>
      <c r="F30" s="170"/>
      <c r="G30" s="178">
        <f>$J$16</f>
        <v>0</v>
      </c>
      <c r="H30" s="179"/>
      <c r="I30" s="55">
        <f t="shared" si="2"/>
        <v>0</v>
      </c>
      <c r="J30" s="180">
        <f>INT(($J$12-53)/25)*25</f>
        <v>-75</v>
      </c>
      <c r="K30" s="181"/>
      <c r="L30" s="39"/>
    </row>
    <row r="31" spans="1:12" ht="15.75" customHeight="1" x14ac:dyDescent="0.45">
      <c r="A31" s="36">
        <v>8</v>
      </c>
      <c r="B31" s="165" t="str">
        <f>"09820"</f>
        <v>09820</v>
      </c>
      <c r="C31" s="167"/>
      <c r="D31" s="175" t="s">
        <v>17</v>
      </c>
      <c r="E31" s="176"/>
      <c r="F31" s="177"/>
      <c r="G31" s="168" t="str">
        <f>"-"</f>
        <v>-</v>
      </c>
      <c r="H31" s="170"/>
      <c r="I31" s="55">
        <f>4*$J$21</f>
        <v>0</v>
      </c>
      <c r="J31" s="180"/>
      <c r="K31" s="181"/>
      <c r="L31" s="39"/>
    </row>
    <row r="32" spans="1:12" ht="15.75" customHeight="1" x14ac:dyDescent="0.45">
      <c r="A32" s="36">
        <v>9</v>
      </c>
      <c r="B32" s="165" t="str">
        <f>"09821"</f>
        <v>09821</v>
      </c>
      <c r="C32" s="167"/>
      <c r="D32" s="175" t="s">
        <v>18</v>
      </c>
      <c r="E32" s="176"/>
      <c r="F32" s="177"/>
      <c r="G32" s="168" t="str">
        <f>"-"</f>
        <v>-</v>
      </c>
      <c r="H32" s="170"/>
      <c r="I32" s="55">
        <f>4*$J$21</f>
        <v>0</v>
      </c>
      <c r="J32" s="180"/>
      <c r="K32" s="181"/>
      <c r="L32" s="39"/>
    </row>
    <row r="33" spans="1:12" ht="15.75" customHeight="1" x14ac:dyDescent="0.45">
      <c r="A33" s="36">
        <v>10</v>
      </c>
      <c r="B33" s="165">
        <v>88200</v>
      </c>
      <c r="C33" s="167"/>
      <c r="D33" s="175" t="s">
        <v>16</v>
      </c>
      <c r="E33" s="176"/>
      <c r="F33" s="177"/>
      <c r="G33" s="168" t="str">
        <f>"-"</f>
        <v>-</v>
      </c>
      <c r="H33" s="170"/>
      <c r="I33" s="55">
        <f>4*$J$21</f>
        <v>0</v>
      </c>
      <c r="J33" s="180"/>
      <c r="K33" s="181"/>
      <c r="L33" s="39"/>
    </row>
    <row r="34" spans="1:12" ht="15.4" x14ac:dyDescent="0.45">
      <c r="A34" s="36">
        <v>11</v>
      </c>
      <c r="B34" s="165">
        <v>303041</v>
      </c>
      <c r="C34" s="167"/>
      <c r="D34" s="168" t="s">
        <v>80</v>
      </c>
      <c r="E34" s="169"/>
      <c r="F34" s="170"/>
      <c r="G34" s="168" t="str">
        <f>"-"</f>
        <v>-</v>
      </c>
      <c r="H34" s="170"/>
      <c r="I34" s="55">
        <f t="shared" si="2"/>
        <v>0</v>
      </c>
      <c r="J34" s="180">
        <v>2000</v>
      </c>
      <c r="K34" s="181"/>
      <c r="L34" s="40"/>
    </row>
    <row r="35" spans="1:12" ht="15.4" x14ac:dyDescent="0.45">
      <c r="A35" s="36">
        <v>12</v>
      </c>
      <c r="B35" s="165" t="e" cm="1">
        <f t="array" aca="1" ref="B35" ca="1">OFFSET('Таблица с данными'!$B$42,MATCH($J$18&amp;$J$14,'Таблица с данными'!$B$43:$B$58&amp;'Таблица с данными'!$C$43:$C$58,0),2,1,1)</f>
        <v>#N/A</v>
      </c>
      <c r="C35" s="167"/>
      <c r="D35" s="165" t="str">
        <f>IF($J$18="Скрытый, врезной", "Комплект скрытых пд",IF($J$18=0,"Полкодержатели",IF($J$18="Нет","Полкодержатели",$J$18)))</f>
        <v/>
      </c>
      <c r="E35" s="166"/>
      <c r="F35" s="167"/>
      <c r="G35" s="165">
        <f>IF($D$35="Полкодержатели","-",IF($D$35="Граната, врезной","-",$J$14))</f>
        <v>0</v>
      </c>
      <c r="H35" s="167"/>
      <c r="I35" s="57" t="e">
        <f ca="1">OFFSET('Таблица с данными'!$B$30,MATCH('Лист заказа Moonlight'!$H$17,'Таблица с данными'!$B$31:$B$34,0),4,1,1)*$J$21</f>
        <v>#N/A</v>
      </c>
      <c r="J35" s="180"/>
      <c r="K35" s="181"/>
      <c r="L35" s="39"/>
    </row>
    <row r="36" spans="1:12" ht="15.4" x14ac:dyDescent="0.4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 ht="20.25" thickBot="1" x14ac:dyDescent="0.55000000000000004">
      <c r="A37" s="182" t="s">
        <v>71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</row>
    <row r="38" spans="1:12" ht="15.75" thickBot="1" x14ac:dyDescent="0.5">
      <c r="A38" s="151" t="s">
        <v>5</v>
      </c>
      <c r="B38" s="152"/>
      <c r="C38" s="183"/>
      <c r="D38" s="151" t="s">
        <v>6</v>
      </c>
      <c r="E38" s="152"/>
      <c r="F38" s="183"/>
      <c r="G38" s="151" t="s">
        <v>7</v>
      </c>
      <c r="H38" s="183"/>
      <c r="I38" s="151" t="s">
        <v>74</v>
      </c>
      <c r="J38" s="183"/>
      <c r="K38" s="145" t="s">
        <v>72</v>
      </c>
      <c r="L38" s="147"/>
    </row>
    <row r="39" spans="1:12" ht="15.75" customHeight="1" x14ac:dyDescent="0.45">
      <c r="A39" s="159" t="str" cm="1">
        <f t="array" aca="1" ref="A39" ca="1">"131.741.3760."&amp;OFFSET('Таблица с данными'!$B$2,MATCH('Лист заказа Moonlight'!$D$16,'Таблица с данными'!$B$3:$B$6,0),1,COUNTIFS('Таблица с данными'!$B$3:$B$6,'Лист заказа Moonlight'!$D$16),1)</f>
        <v>131.741.3760.C</v>
      </c>
      <c r="B39" s="160"/>
      <c r="C39" s="161"/>
      <c r="D39" s="162" t="s">
        <v>11</v>
      </c>
      <c r="E39" s="163"/>
      <c r="F39" s="164"/>
      <c r="G39" s="159">
        <f>$J$14</f>
        <v>0</v>
      </c>
      <c r="H39" s="161"/>
      <c r="I39" s="159">
        <f>$J$24*$I$24</f>
        <v>0</v>
      </c>
      <c r="J39" s="161"/>
      <c r="K39" s="173">
        <f>$I$39/3760</f>
        <v>0</v>
      </c>
      <c r="L39" s="174"/>
    </row>
    <row r="40" spans="1:12" ht="15.75" customHeight="1" x14ac:dyDescent="0.45">
      <c r="A40" s="165" t="str" cm="1">
        <f t="array" aca="1" ref="A40" ca="1">"131.740.3760."&amp;OFFSET('Таблица с данными'!$B$2,MATCH('Лист заказа Moonlight'!$D$16,'Таблица с данными'!$B$3:$B$6,0),1,COUNTIFS('Таблица с данными'!$B$3:$B$6,'Лист заказа Moonlight'!$D$16),1)</f>
        <v>131.740.3760.C</v>
      </c>
      <c r="B40" s="166"/>
      <c r="C40" s="167"/>
      <c r="D40" s="168" t="s">
        <v>73</v>
      </c>
      <c r="E40" s="169"/>
      <c r="F40" s="170"/>
      <c r="G40" s="165">
        <f>$J$14</f>
        <v>0</v>
      </c>
      <c r="H40" s="167"/>
      <c r="I40" s="165">
        <f>$J$25*$I$25+$J$26*$I$26+$J$27*$I$27</f>
        <v>0</v>
      </c>
      <c r="J40" s="167"/>
      <c r="K40" s="171">
        <f>$I$40/3760</f>
        <v>0</v>
      </c>
      <c r="L40" s="172"/>
    </row>
    <row r="41" spans="1:12" ht="15.75" customHeight="1" x14ac:dyDescent="0.45">
      <c r="A41" s="165" t="str" cm="1">
        <f t="array" aca="1" ref="A41" ca="1">"SOM0"&amp;OFFSET('Таблица с данными'!$B$9,MATCH('Лист заказа Moonlight'!$E$16,'Таблица с данными'!$B$10:$B$11,0),1,COUNTIFS('Таблица с данными'!$B$10:$B$11,'Лист заказа Moonlight'!$E$16),1)&amp;"7-3700"</f>
        <v>SOM07-3700</v>
      </c>
      <c r="B41" s="166"/>
      <c r="C41" s="167"/>
      <c r="D41" s="168" t="s">
        <v>13</v>
      </c>
      <c r="E41" s="169"/>
      <c r="F41" s="170"/>
      <c r="G41" s="165">
        <f>$J$15</f>
        <v>0</v>
      </c>
      <c r="H41" s="167"/>
      <c r="I41" s="165">
        <f>$J$29*$I$29</f>
        <v>0</v>
      </c>
      <c r="J41" s="167"/>
      <c r="K41" s="171">
        <f>$I$41/3700</f>
        <v>0</v>
      </c>
      <c r="L41" s="172"/>
    </row>
    <row r="42" spans="1:12" ht="15.4" x14ac:dyDescent="0.4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 ht="15.4" x14ac:dyDescent="0.4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 ht="19.899999999999999" x14ac:dyDescent="0.5">
      <c r="A44" s="123" t="s">
        <v>66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</row>
    <row r="45" spans="1:12" ht="15.75" thickBot="1" x14ac:dyDescent="0.5">
      <c r="A45" s="41"/>
      <c r="B45" s="41"/>
      <c r="C45" s="41"/>
      <c r="D45" s="41"/>
      <c r="E45" s="41"/>
      <c r="F45" s="41"/>
      <c r="G45" s="41"/>
      <c r="H45" s="41"/>
      <c r="I45" s="41"/>
      <c r="J45" s="42"/>
      <c r="K45" s="42"/>
      <c r="L45" s="26"/>
    </row>
    <row r="46" spans="1:12" ht="15.75" thickBot="1" x14ac:dyDescent="0.5">
      <c r="A46" s="41"/>
      <c r="B46" s="41"/>
      <c r="C46" s="41"/>
      <c r="D46" s="41"/>
      <c r="E46" s="41"/>
      <c r="F46" s="153" t="s">
        <v>64</v>
      </c>
      <c r="G46" s="154"/>
      <c r="H46" s="154"/>
      <c r="I46" s="155"/>
      <c r="J46" s="156">
        <f>$J$25</f>
        <v>-11</v>
      </c>
      <c r="K46" s="156"/>
      <c r="L46" s="157"/>
    </row>
    <row r="47" spans="1:12" ht="15.75" thickBot="1" x14ac:dyDescent="0.5">
      <c r="A47" s="41"/>
      <c r="B47" s="41"/>
      <c r="C47" s="41"/>
      <c r="D47" s="41"/>
      <c r="E47" s="41"/>
      <c r="F47" s="153" t="s">
        <v>50</v>
      </c>
      <c r="G47" s="154"/>
      <c r="H47" s="154"/>
      <c r="I47" s="155"/>
      <c r="J47" s="158" t="str">
        <f>$J$19</f>
        <v/>
      </c>
      <c r="K47" s="156"/>
      <c r="L47" s="157"/>
    </row>
    <row r="48" spans="1:12" ht="15.75" thickBot="1" x14ac:dyDescent="0.5">
      <c r="A48" s="41"/>
      <c r="B48" s="41"/>
      <c r="C48" s="41"/>
      <c r="D48" s="41"/>
      <c r="E48" s="41"/>
      <c r="F48" s="153" t="s">
        <v>51</v>
      </c>
      <c r="G48" s="154"/>
      <c r="H48" s="154"/>
      <c r="I48" s="155"/>
      <c r="J48" s="158" t="str">
        <f>$J$20</f>
        <v/>
      </c>
      <c r="K48" s="156"/>
      <c r="L48" s="157"/>
    </row>
    <row r="49" spans="1:12" ht="15.75" thickBot="1" x14ac:dyDescent="0.5">
      <c r="A49" s="41"/>
      <c r="B49" s="41"/>
      <c r="C49" s="41"/>
      <c r="D49" s="41"/>
      <c r="E49" s="41"/>
      <c r="F49" s="153" t="s">
        <v>52</v>
      </c>
      <c r="G49" s="154"/>
      <c r="H49" s="154"/>
      <c r="I49" s="155"/>
      <c r="J49" s="158" t="str">
        <f>$J$21&amp;"*2"</f>
        <v>0*2</v>
      </c>
      <c r="K49" s="156"/>
      <c r="L49" s="157"/>
    </row>
    <row r="50" spans="1:12" ht="15.4" x14ac:dyDescent="0.45">
      <c r="A50" s="41"/>
      <c r="B50" s="41"/>
      <c r="C50" s="41"/>
      <c r="D50" s="41"/>
      <c r="E50" s="41"/>
      <c r="F50" s="41"/>
      <c r="G50" s="41"/>
      <c r="H50" s="44"/>
      <c r="I50" s="44"/>
      <c r="J50" s="44"/>
      <c r="K50" s="46"/>
      <c r="L50" s="26"/>
    </row>
    <row r="51" spans="1:12" ht="15.4" x14ac:dyDescent="0.45">
      <c r="A51" s="41"/>
      <c r="B51" s="41"/>
      <c r="C51" s="41"/>
      <c r="D51" s="41"/>
      <c r="E51" s="41"/>
      <c r="F51" s="41"/>
      <c r="G51" s="41"/>
      <c r="H51" s="28"/>
      <c r="I51" s="28"/>
      <c r="J51" s="28"/>
      <c r="K51" s="28"/>
      <c r="L51" s="26"/>
    </row>
    <row r="52" spans="1:12" ht="15.4" x14ac:dyDescent="0.45">
      <c r="A52" s="41"/>
      <c r="B52" s="41"/>
      <c r="C52" s="41"/>
      <c r="D52" s="41"/>
      <c r="E52" s="41"/>
      <c r="F52" s="41"/>
      <c r="G52" s="41"/>
      <c r="H52" s="28"/>
      <c r="I52" s="28"/>
      <c r="J52" s="28"/>
      <c r="K52" s="28"/>
      <c r="L52" s="26"/>
    </row>
    <row r="53" spans="1:12" ht="15.4" x14ac:dyDescent="0.45">
      <c r="A53" s="41"/>
      <c r="B53" s="41"/>
      <c r="C53" s="41"/>
      <c r="D53" s="41"/>
      <c r="E53" s="41"/>
      <c r="F53" s="41"/>
      <c r="G53" s="41"/>
      <c r="H53" s="44"/>
      <c r="I53" s="44"/>
      <c r="J53" s="44"/>
      <c r="K53" s="44"/>
      <c r="L53" s="45"/>
    </row>
    <row r="54" spans="1:12" ht="15.75" thickBot="1" x14ac:dyDescent="0.5">
      <c r="A54" s="28"/>
      <c r="B54" s="28"/>
      <c r="C54" s="28"/>
      <c r="D54" s="28"/>
      <c r="E54" s="28"/>
      <c r="F54" s="28"/>
      <c r="G54" s="28"/>
      <c r="H54" s="28"/>
      <c r="I54" s="28"/>
      <c r="J54" s="35"/>
      <c r="K54" s="35"/>
      <c r="L54" s="26"/>
    </row>
    <row r="55" spans="1:12" ht="16.5" customHeight="1" thickBot="1" x14ac:dyDescent="0.5">
      <c r="A55" s="151" t="s">
        <v>59</v>
      </c>
      <c r="B55" s="152"/>
      <c r="C55" s="152"/>
      <c r="D55" s="152"/>
      <c r="E55" s="152"/>
      <c r="F55" s="152"/>
      <c r="G55" s="145" t="s">
        <v>60</v>
      </c>
      <c r="H55" s="146"/>
      <c r="I55" s="146"/>
      <c r="J55" s="146"/>
      <c r="K55" s="146"/>
      <c r="L55" s="147"/>
    </row>
    <row r="56" spans="1:12" ht="15.75" thickBot="1" x14ac:dyDescent="0.5">
      <c r="A56" s="149"/>
      <c r="B56" s="149"/>
      <c r="C56" s="149"/>
      <c r="D56" s="149"/>
      <c r="E56" s="149"/>
      <c r="F56" s="149"/>
      <c r="G56" s="148"/>
      <c r="H56" s="149"/>
      <c r="I56" s="149"/>
      <c r="J56" s="149"/>
      <c r="K56" s="149"/>
      <c r="L56" s="150"/>
    </row>
  </sheetData>
  <sheetProtection algorithmName="SHA-512" hashValue="WW+FpLHflGs7AWchweKBZ7QwcXcoUARWQj0Hqo+lRSleeh7qZss2L77IwArDnC0xz3Fd5CBLIy924OYw4yzuKg==" saltValue="fI31aVd81d+bdmeC4SXCZg==" spinCount="100000" sheet="1" objects="1" scenarios="1"/>
  <mergeCells count="112">
    <mergeCell ref="F49:I49"/>
    <mergeCell ref="J49:L49"/>
    <mergeCell ref="A55:F55"/>
    <mergeCell ref="G55:L55"/>
    <mergeCell ref="A56:F56"/>
    <mergeCell ref="G56:L56"/>
    <mergeCell ref="F46:I46"/>
    <mergeCell ref="J46:L46"/>
    <mergeCell ref="F47:I47"/>
    <mergeCell ref="J47:L47"/>
    <mergeCell ref="F48:I48"/>
    <mergeCell ref="J48:L48"/>
    <mergeCell ref="A41:C41"/>
    <mergeCell ref="D41:F41"/>
    <mergeCell ref="G41:H41"/>
    <mergeCell ref="I41:J41"/>
    <mergeCell ref="K41:L41"/>
    <mergeCell ref="A44:L44"/>
    <mergeCell ref="A39:C39"/>
    <mergeCell ref="D39:F39"/>
    <mergeCell ref="G39:H39"/>
    <mergeCell ref="I39:J39"/>
    <mergeCell ref="K39:L39"/>
    <mergeCell ref="A40:C40"/>
    <mergeCell ref="D40:F40"/>
    <mergeCell ref="G40:H40"/>
    <mergeCell ref="I40:J40"/>
    <mergeCell ref="K40:L40"/>
    <mergeCell ref="B35:C35"/>
    <mergeCell ref="D35:F35"/>
    <mergeCell ref="G35:H35"/>
    <mergeCell ref="J35:K35"/>
    <mergeCell ref="A37:L37"/>
    <mergeCell ref="A38:C38"/>
    <mergeCell ref="D38:F38"/>
    <mergeCell ref="G38:H38"/>
    <mergeCell ref="I38:J38"/>
    <mergeCell ref="K38:L38"/>
    <mergeCell ref="B34:C34"/>
    <mergeCell ref="D34:F34"/>
    <mergeCell ref="G34:H34"/>
    <mergeCell ref="J34:K34"/>
    <mergeCell ref="B32:C32"/>
    <mergeCell ref="D32:F32"/>
    <mergeCell ref="G32:H32"/>
    <mergeCell ref="J32:K32"/>
    <mergeCell ref="B33:C33"/>
    <mergeCell ref="D33:F33"/>
    <mergeCell ref="G33:H33"/>
    <mergeCell ref="J33:K33"/>
    <mergeCell ref="B30:C30"/>
    <mergeCell ref="D30:F30"/>
    <mergeCell ref="G30:H30"/>
    <mergeCell ref="J30:K30"/>
    <mergeCell ref="B31:C31"/>
    <mergeCell ref="D31:F31"/>
    <mergeCell ref="G31:H31"/>
    <mergeCell ref="J31:K31"/>
    <mergeCell ref="B28:C28"/>
    <mergeCell ref="D28:F28"/>
    <mergeCell ref="G28:H28"/>
    <mergeCell ref="J28:K28"/>
    <mergeCell ref="B29:C29"/>
    <mergeCell ref="D29:F29"/>
    <mergeCell ref="G29:H29"/>
    <mergeCell ref="J29:K29"/>
    <mergeCell ref="B26:C26"/>
    <mergeCell ref="D26:F26"/>
    <mergeCell ref="G26:H26"/>
    <mergeCell ref="J26:K26"/>
    <mergeCell ref="B27:C27"/>
    <mergeCell ref="D27:F27"/>
    <mergeCell ref="G27:H27"/>
    <mergeCell ref="J27:K27"/>
    <mergeCell ref="B24:C24"/>
    <mergeCell ref="D24:F24"/>
    <mergeCell ref="G24:H24"/>
    <mergeCell ref="J24:K24"/>
    <mergeCell ref="B25:C25"/>
    <mergeCell ref="D25:F25"/>
    <mergeCell ref="G25:H25"/>
    <mergeCell ref="J25:K25"/>
    <mergeCell ref="B23:C23"/>
    <mergeCell ref="D23:F23"/>
    <mergeCell ref="G23:H23"/>
    <mergeCell ref="J23:K23"/>
    <mergeCell ref="G18:I18"/>
    <mergeCell ref="J18:L18"/>
    <mergeCell ref="G19:I19"/>
    <mergeCell ref="J19:L19"/>
    <mergeCell ref="G20:I20"/>
    <mergeCell ref="J20:L20"/>
    <mergeCell ref="G17:I17"/>
    <mergeCell ref="J17:L17"/>
    <mergeCell ref="G12:I12"/>
    <mergeCell ref="J12:L12"/>
    <mergeCell ref="G13:I13"/>
    <mergeCell ref="J13:L13"/>
    <mergeCell ref="G14:I14"/>
    <mergeCell ref="J14:L14"/>
    <mergeCell ref="G21:I21"/>
    <mergeCell ref="J21:L21"/>
    <mergeCell ref="A7:L7"/>
    <mergeCell ref="A8:L8"/>
    <mergeCell ref="G10:I10"/>
    <mergeCell ref="J10:L10"/>
    <mergeCell ref="G11:I11"/>
    <mergeCell ref="J11:L11"/>
    <mergeCell ref="G15:I15"/>
    <mergeCell ref="J15:L15"/>
    <mergeCell ref="G16:I16"/>
    <mergeCell ref="J16:L16"/>
  </mergeCells>
  <pageMargins left="0.7" right="0.7" top="0.75" bottom="0.75" header="0.3" footer="0.3"/>
  <pageSetup paperSize="9" scale="6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FA21-311F-4154-AA07-25604BA10693}">
  <sheetPr codeName="Лист6">
    <pageSetUpPr fitToPage="1"/>
  </sheetPr>
  <dimension ref="A1:L56"/>
  <sheetViews>
    <sheetView zoomScaleNormal="100" workbookViewId="0">
      <selection activeCell="A8" sqref="A8:L8"/>
    </sheetView>
  </sheetViews>
  <sheetFormatPr defaultRowHeight="14.25" x14ac:dyDescent="0.45"/>
  <sheetData>
    <row r="1" spans="1:12" ht="15.4" x14ac:dyDescent="0.45">
      <c r="A1" s="26"/>
      <c r="B1" s="26"/>
      <c r="C1" s="26"/>
      <c r="D1" s="26"/>
      <c r="E1" s="26"/>
      <c r="F1" s="26"/>
      <c r="G1" s="26"/>
      <c r="H1" s="26"/>
      <c r="I1" s="26"/>
      <c r="J1" s="27"/>
      <c r="K1" s="27"/>
      <c r="L1" s="26"/>
    </row>
    <row r="2" spans="1:12" ht="15.4" x14ac:dyDescent="0.45">
      <c r="A2" s="26"/>
      <c r="B2" s="26"/>
      <c r="C2" s="26"/>
      <c r="D2" s="26"/>
      <c r="E2" s="26"/>
      <c r="F2" s="26"/>
      <c r="G2" s="26"/>
      <c r="H2" s="26"/>
      <c r="I2" s="26"/>
      <c r="J2" s="27"/>
      <c r="K2" s="27"/>
      <c r="L2" s="26"/>
    </row>
    <row r="3" spans="1:12" ht="15.4" x14ac:dyDescent="0.45">
      <c r="A3" s="26"/>
      <c r="B3" s="26"/>
      <c r="C3" s="26"/>
      <c r="D3" s="26"/>
      <c r="E3" s="26"/>
      <c r="F3" s="26"/>
      <c r="G3" s="26"/>
      <c r="H3" s="26"/>
      <c r="I3" s="26"/>
      <c r="J3" s="27"/>
      <c r="K3" s="27"/>
      <c r="L3" s="26"/>
    </row>
    <row r="4" spans="1:12" ht="15.4" x14ac:dyDescent="0.45">
      <c r="A4" s="26"/>
      <c r="B4" s="26"/>
      <c r="C4" s="26"/>
      <c r="D4" s="26"/>
      <c r="E4" s="26"/>
      <c r="F4" s="26"/>
      <c r="G4" s="26"/>
      <c r="H4" s="26"/>
      <c r="I4" s="26"/>
      <c r="J4" s="27"/>
      <c r="K4" s="27"/>
      <c r="L4" s="26"/>
    </row>
    <row r="5" spans="1:12" ht="15.4" x14ac:dyDescent="0.45">
      <c r="A5" s="26"/>
      <c r="B5" s="26"/>
      <c r="C5" s="26"/>
      <c r="D5" s="26"/>
      <c r="E5" s="26"/>
      <c r="F5" s="26"/>
      <c r="G5" s="26"/>
      <c r="H5" s="26"/>
      <c r="I5" s="26"/>
      <c r="J5" s="27"/>
      <c r="K5" s="27"/>
      <c r="L5" s="26"/>
    </row>
    <row r="6" spans="1:12" ht="15.4" x14ac:dyDescent="0.45">
      <c r="A6" s="26"/>
      <c r="B6" s="26"/>
      <c r="C6" s="26"/>
      <c r="D6" s="26"/>
      <c r="E6" s="26"/>
      <c r="F6" s="26"/>
      <c r="G6" s="26"/>
      <c r="H6" s="26"/>
      <c r="I6" s="26"/>
      <c r="J6" s="27"/>
      <c r="K6" s="27"/>
      <c r="L6" s="26"/>
    </row>
    <row r="7" spans="1:12" ht="19.899999999999999" x14ac:dyDescent="0.5">
      <c r="A7" s="123" t="str">
        <f ca="1">"Спецификация арт. " &amp; 'Лист заказа Moonlight'!$K$18</f>
        <v xml:space="preserve">Спецификация арт. 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</row>
    <row r="8" spans="1:12" ht="17.25" x14ac:dyDescent="0.45">
      <c r="A8" s="184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</row>
    <row r="9" spans="1:12" ht="15.75" thickBot="1" x14ac:dyDescent="0.5">
      <c r="A9" s="26"/>
      <c r="B9" s="26"/>
      <c r="C9" s="26"/>
      <c r="D9" s="26"/>
      <c r="E9" s="26"/>
      <c r="F9" s="26"/>
      <c r="G9" s="26"/>
      <c r="H9" s="26"/>
      <c r="I9" s="26"/>
      <c r="J9" s="27"/>
      <c r="K9" s="27"/>
      <c r="L9" s="26"/>
    </row>
    <row r="10" spans="1:12" ht="15.75" thickBot="1" x14ac:dyDescent="0.5">
      <c r="A10" s="26"/>
      <c r="B10" s="26"/>
      <c r="C10" s="26"/>
      <c r="D10" s="26"/>
      <c r="E10" s="26"/>
      <c r="F10" s="28"/>
      <c r="G10" s="185" t="s">
        <v>41</v>
      </c>
      <c r="H10" s="186"/>
      <c r="I10" s="187"/>
      <c r="J10" s="191">
        <f>'Лист заказа Moonlight'!$D$8</f>
        <v>0</v>
      </c>
      <c r="K10" s="189"/>
      <c r="L10" s="190"/>
    </row>
    <row r="11" spans="1:12" ht="15.75" thickBot="1" x14ac:dyDescent="0.5">
      <c r="A11" s="26"/>
      <c r="B11" s="26"/>
      <c r="C11" s="26"/>
      <c r="D11" s="26"/>
      <c r="E11" s="26"/>
      <c r="F11" s="28"/>
      <c r="G11" s="185" t="s">
        <v>54</v>
      </c>
      <c r="H11" s="186"/>
      <c r="I11" s="187"/>
      <c r="J11" s="191">
        <v>3</v>
      </c>
      <c r="K11" s="189"/>
      <c r="L11" s="190"/>
    </row>
    <row r="12" spans="1:12" ht="15.75" thickBot="1" x14ac:dyDescent="0.5">
      <c r="A12" s="26"/>
      <c r="B12" s="26"/>
      <c r="C12" s="26"/>
      <c r="D12" s="26"/>
      <c r="E12" s="26"/>
      <c r="F12" s="28"/>
      <c r="G12" s="185" t="s">
        <v>0</v>
      </c>
      <c r="H12" s="186"/>
      <c r="I12" s="187"/>
      <c r="J12" s="191">
        <f>'Лист заказа Moonlight'!$B$18</f>
        <v>0</v>
      </c>
      <c r="K12" s="189"/>
      <c r="L12" s="190"/>
    </row>
    <row r="13" spans="1:12" ht="15.75" thickBot="1" x14ac:dyDescent="0.5">
      <c r="A13" s="26"/>
      <c r="B13" s="26"/>
      <c r="C13" s="26"/>
      <c r="D13" s="26"/>
      <c r="E13" s="26"/>
      <c r="F13" s="28"/>
      <c r="G13" s="192" t="s">
        <v>1</v>
      </c>
      <c r="H13" s="193"/>
      <c r="I13" s="194"/>
      <c r="J13" s="191">
        <f>'Лист заказа Moonlight'!$C$18</f>
        <v>0</v>
      </c>
      <c r="K13" s="189"/>
      <c r="L13" s="190"/>
    </row>
    <row r="14" spans="1:12" ht="15.75" thickBot="1" x14ac:dyDescent="0.5">
      <c r="A14" s="26"/>
      <c r="B14" s="26"/>
      <c r="C14" s="26"/>
      <c r="D14" s="26"/>
      <c r="E14" s="26"/>
      <c r="F14" s="28"/>
      <c r="G14" s="185" t="s">
        <v>2</v>
      </c>
      <c r="H14" s="186"/>
      <c r="I14" s="187"/>
      <c r="J14" s="191">
        <f>'Лист заказа Moonlight'!$D$18</f>
        <v>0</v>
      </c>
      <c r="K14" s="189"/>
      <c r="L14" s="190"/>
    </row>
    <row r="15" spans="1:12" ht="15.75" thickBot="1" x14ac:dyDescent="0.5">
      <c r="A15" s="26"/>
      <c r="B15" s="26"/>
      <c r="C15" s="32"/>
      <c r="D15" s="26"/>
      <c r="E15" s="26"/>
      <c r="F15" s="28"/>
      <c r="G15" s="185" t="s">
        <v>3</v>
      </c>
      <c r="H15" s="186"/>
      <c r="I15" s="187"/>
      <c r="J15" s="191">
        <f>'Лист заказа Moonlight'!$E$18</f>
        <v>0</v>
      </c>
      <c r="K15" s="189"/>
      <c r="L15" s="190"/>
    </row>
    <row r="16" spans="1:12" ht="15.75" thickBot="1" x14ac:dyDescent="0.5">
      <c r="A16" s="26"/>
      <c r="B16" s="26"/>
      <c r="C16" s="26"/>
      <c r="D16" s="26"/>
      <c r="E16" s="26"/>
      <c r="F16" s="28"/>
      <c r="G16" s="195" t="s">
        <v>4</v>
      </c>
      <c r="H16" s="196"/>
      <c r="I16" s="197"/>
      <c r="J16" s="191">
        <f>'Лист заказа Moonlight'!$F$18</f>
        <v>0</v>
      </c>
      <c r="K16" s="189"/>
      <c r="L16" s="190"/>
    </row>
    <row r="17" spans="1:12" ht="15.75" thickBot="1" x14ac:dyDescent="0.5">
      <c r="A17" s="26"/>
      <c r="B17" s="26"/>
      <c r="C17" s="26"/>
      <c r="D17" s="26"/>
      <c r="E17" s="26"/>
      <c r="F17" s="28"/>
      <c r="G17" s="185" t="s">
        <v>34</v>
      </c>
      <c r="H17" s="186"/>
      <c r="I17" s="187"/>
      <c r="J17" s="191">
        <f>'Лист заказа Moonlight'!$G$18</f>
        <v>0</v>
      </c>
      <c r="K17" s="189"/>
      <c r="L17" s="190"/>
    </row>
    <row r="18" spans="1:12" ht="16.5" customHeight="1" thickBot="1" x14ac:dyDescent="0.5">
      <c r="A18" s="33"/>
      <c r="B18" s="33"/>
      <c r="C18" s="33"/>
      <c r="D18" s="33"/>
      <c r="E18" s="33"/>
      <c r="F18" s="28"/>
      <c r="G18" s="200" t="s">
        <v>49</v>
      </c>
      <c r="H18" s="201"/>
      <c r="I18" s="202"/>
      <c r="J18" s="191" t="str">
        <f>IF('Лист заказа Moonlight'!$H$18=0,"",'Лист заказа Moonlight'!$H$18)</f>
        <v/>
      </c>
      <c r="K18" s="189"/>
      <c r="L18" s="190"/>
    </row>
    <row r="19" spans="1:12" ht="15.75" thickBot="1" x14ac:dyDescent="0.5">
      <c r="A19" s="26"/>
      <c r="B19" s="26"/>
      <c r="C19" s="26"/>
      <c r="D19" s="26"/>
      <c r="E19" s="26"/>
      <c r="F19" s="28"/>
      <c r="G19" s="192" t="s">
        <v>92</v>
      </c>
      <c r="H19" s="193"/>
      <c r="I19" s="194"/>
      <c r="J19" s="191" t="str">
        <f>IF('Лист заказа Moonlight'!$I$18=0,"",'Лист заказа Moonlight'!$I$18-11)</f>
        <v/>
      </c>
      <c r="K19" s="189"/>
      <c r="L19" s="190"/>
    </row>
    <row r="20" spans="1:12" ht="15.75" thickBot="1" x14ac:dyDescent="0.5">
      <c r="A20" s="26"/>
      <c r="B20" s="26"/>
      <c r="C20" s="26"/>
      <c r="D20" s="26"/>
      <c r="E20" s="26"/>
      <c r="F20" s="28"/>
      <c r="G20" s="185" t="s">
        <v>89</v>
      </c>
      <c r="H20" s="186"/>
      <c r="I20" s="187"/>
      <c r="J20" s="191" t="str">
        <f>IF('Лист заказа Moonlight'!$J$18=0,"",'Лист заказа Moonlight'!$J$18)</f>
        <v/>
      </c>
      <c r="K20" s="189"/>
      <c r="L20" s="190"/>
    </row>
    <row r="21" spans="1:12" ht="16.5" customHeight="1" thickBot="1" x14ac:dyDescent="0.5">
      <c r="A21" s="26"/>
      <c r="B21" s="26"/>
      <c r="C21" s="26"/>
      <c r="D21" s="26"/>
      <c r="E21" s="26"/>
      <c r="F21" s="28"/>
      <c r="G21" s="185" t="s">
        <v>52</v>
      </c>
      <c r="H21" s="186"/>
      <c r="I21" s="187"/>
      <c r="J21" s="203">
        <f>'Лист заказа Moonlight'!$N$18</f>
        <v>0</v>
      </c>
      <c r="K21" s="189"/>
      <c r="L21" s="190"/>
    </row>
    <row r="22" spans="1:12" ht="15.75" thickBot="1" x14ac:dyDescent="0.5">
      <c r="A22" s="26"/>
      <c r="B22" s="26"/>
      <c r="C22" s="26"/>
      <c r="D22" s="26"/>
      <c r="E22" s="26"/>
      <c r="F22" s="26"/>
      <c r="G22" s="26"/>
      <c r="H22" s="26"/>
      <c r="I22" s="26"/>
      <c r="J22" s="27"/>
      <c r="K22" s="27"/>
      <c r="L22" s="26"/>
    </row>
    <row r="23" spans="1:12" ht="15.75" thickBot="1" x14ac:dyDescent="0.5">
      <c r="A23" s="52" t="s">
        <v>65</v>
      </c>
      <c r="B23" s="151" t="s">
        <v>5</v>
      </c>
      <c r="C23" s="183"/>
      <c r="D23" s="151" t="s">
        <v>6</v>
      </c>
      <c r="E23" s="152"/>
      <c r="F23" s="183"/>
      <c r="G23" s="151" t="s">
        <v>7</v>
      </c>
      <c r="H23" s="183"/>
      <c r="I23" s="52" t="s">
        <v>8</v>
      </c>
      <c r="J23" s="145" t="s">
        <v>9</v>
      </c>
      <c r="K23" s="147"/>
      <c r="L23" s="53" t="s">
        <v>55</v>
      </c>
    </row>
    <row r="24" spans="1:12" ht="15.4" x14ac:dyDescent="0.45">
      <c r="A24" s="37">
        <v>1</v>
      </c>
      <c r="B24" s="159" t="e" cm="1">
        <f t="array" aca="1" ref="B24" ca="1">"131.741.3760."&amp;OFFSET('Таблица с данными'!$B$2,MATCH($J$14,'Таблица с данными'!$B$3:$B$6,0),1,COUNTIFS('Таблица с данными'!$B$3:$B$6,$J$14),1)</f>
        <v>#N/A</v>
      </c>
      <c r="C24" s="161"/>
      <c r="D24" s="162" t="s">
        <v>11</v>
      </c>
      <c r="E24" s="163"/>
      <c r="F24" s="164"/>
      <c r="G24" s="159">
        <f>$J$14</f>
        <v>0</v>
      </c>
      <c r="H24" s="161"/>
      <c r="I24" s="55">
        <f>1*$J$21</f>
        <v>0</v>
      </c>
      <c r="J24" s="198">
        <f>$J$12-3</f>
        <v>-3</v>
      </c>
      <c r="K24" s="199"/>
      <c r="L24" s="38"/>
    </row>
    <row r="25" spans="1:12" ht="15.4" x14ac:dyDescent="0.45">
      <c r="A25" s="36">
        <v>2</v>
      </c>
      <c r="B25" s="165" t="e" cm="1">
        <f t="array" aca="1" ref="B25" ca="1">"131.740.3760."&amp;OFFSET('Таблица с данными'!$B$2,MATCH($J$14,'Таблица с данными'!$B$3:$B$6,0),1,COUNTIFS('Таблица с данными'!$B$3:$B$6,$J$14),1)</f>
        <v>#N/A</v>
      </c>
      <c r="C25" s="167"/>
      <c r="D25" s="168" t="s">
        <v>37</v>
      </c>
      <c r="E25" s="169"/>
      <c r="F25" s="170"/>
      <c r="G25" s="165">
        <f>$J$14</f>
        <v>0</v>
      </c>
      <c r="H25" s="167"/>
      <c r="I25" s="55">
        <f t="shared" ref="I25:I27" si="0">1*$J$21</f>
        <v>0</v>
      </c>
      <c r="J25" s="180">
        <f>$J$13-11</f>
        <v>-11</v>
      </c>
      <c r="K25" s="181"/>
      <c r="L25" s="39"/>
    </row>
    <row r="26" spans="1:12" ht="15.4" x14ac:dyDescent="0.45">
      <c r="A26" s="36">
        <v>3</v>
      </c>
      <c r="B26" s="165" t="e" cm="1">
        <f t="array" aca="1" ref="B26" ca="1">"131.740.3760."&amp;OFFSET('Таблица с данными'!$B$2,MATCH($J$14,'Таблица с данными'!$B$3:$B$6,0),1,COUNTIFS('Таблица с данными'!$B$3:$B$6,$J$14),1)</f>
        <v>#N/A</v>
      </c>
      <c r="C26" s="167"/>
      <c r="D26" s="168" t="s">
        <v>38</v>
      </c>
      <c r="E26" s="169"/>
      <c r="F26" s="170"/>
      <c r="G26" s="165">
        <f>$J$14</f>
        <v>0</v>
      </c>
      <c r="H26" s="167"/>
      <c r="I26" s="55">
        <f t="shared" si="0"/>
        <v>0</v>
      </c>
      <c r="J26" s="180">
        <f>$J$13-11</f>
        <v>-11</v>
      </c>
      <c r="K26" s="181"/>
      <c r="L26" s="39"/>
    </row>
    <row r="27" spans="1:12" ht="15.4" x14ac:dyDescent="0.45">
      <c r="A27" s="36">
        <v>4</v>
      </c>
      <c r="B27" s="165" t="e" cm="1">
        <f t="array" aca="1" ref="B27" ca="1">"131.740.3760."&amp;OFFSET('Таблица с данными'!$B$2,MATCH($J$14,'Таблица с данными'!$B$3:$B$6,0),1,COUNTIFS('Таблица с данными'!$B$3:$B$6,$J$14),1)</f>
        <v>#N/A</v>
      </c>
      <c r="C27" s="167"/>
      <c r="D27" s="168" t="s">
        <v>12</v>
      </c>
      <c r="E27" s="169"/>
      <c r="F27" s="170"/>
      <c r="G27" s="165">
        <f>$J$14</f>
        <v>0</v>
      </c>
      <c r="H27" s="167"/>
      <c r="I27" s="55">
        <f t="shared" si="0"/>
        <v>0</v>
      </c>
      <c r="J27" s="180">
        <f>$J$12-24.4</f>
        <v>-24.4</v>
      </c>
      <c r="K27" s="181"/>
      <c r="L27" s="39"/>
    </row>
    <row r="28" spans="1:12" ht="15.4" x14ac:dyDescent="0.45">
      <c r="A28" s="36">
        <v>5</v>
      </c>
      <c r="B28" s="165" t="e" cm="1">
        <f t="array" aca="1" ref="B28" ca="1">"00-00002568"&amp;OFFSET('Таблица с данными'!$B$2,MATCH($J$14,'Таблица с данными'!$B$3:$B$6,0),1,COUNTIFS('Таблица с данными'!$B$3:$B$6,$J$14),1)</f>
        <v>#N/A</v>
      </c>
      <c r="C28" s="167"/>
      <c r="D28" s="168" t="s">
        <v>15</v>
      </c>
      <c r="E28" s="169"/>
      <c r="F28" s="170"/>
      <c r="G28" s="165">
        <f t="shared" ref="G28" si="1">$J$14</f>
        <v>0</v>
      </c>
      <c r="H28" s="167"/>
      <c r="I28" s="55">
        <f>1*$J$21</f>
        <v>0</v>
      </c>
      <c r="J28" s="180"/>
      <c r="K28" s="181"/>
      <c r="L28" s="39"/>
    </row>
    <row r="29" spans="1:12" ht="15.4" x14ac:dyDescent="0.45">
      <c r="A29" s="36">
        <v>6</v>
      </c>
      <c r="B29" s="165" t="e" cm="1">
        <f t="array" aca="1" ref="B29" ca="1">"SOM0"&amp;OFFSET('Таблица с данными'!$B$9,MATCH($J$15,'Таблица с данными'!$B$10:$B$11,0),1,COUNTIFS('Таблица с данными'!$B$10:$B$11,$J$15),1)&amp;"7-3700"</f>
        <v>#N/A</v>
      </c>
      <c r="C29" s="167"/>
      <c r="D29" s="168" t="s">
        <v>13</v>
      </c>
      <c r="E29" s="169"/>
      <c r="F29" s="170"/>
      <c r="G29" s="165">
        <f>$J$15</f>
        <v>0</v>
      </c>
      <c r="H29" s="167"/>
      <c r="I29" s="55">
        <f t="shared" ref="I29:I34" si="2">1*$J$21</f>
        <v>0</v>
      </c>
      <c r="J29" s="180">
        <f>$J$12-24.4</f>
        <v>-24.4</v>
      </c>
      <c r="K29" s="181"/>
      <c r="L29" s="39"/>
    </row>
    <row r="30" spans="1:12" ht="15.4" x14ac:dyDescent="0.45">
      <c r="A30" s="36">
        <v>7</v>
      </c>
      <c r="B30" s="165" t="e" cm="1">
        <f t="array" aca="1" ref="B30" ca="1">"305110"&amp;OFFSET('Таблица с данными'!$B$14,MATCH($J$16,'Таблица с данными'!$B$15:$B$16,0),1,COUNTIFS('Таблица с данными'!$B$15:$B$16,$J$16),1)&amp;"W-"&amp;OFFSET('Таблица с данными'!$B$18,MATCH($J$30,'Таблица с данными'!$B$19:$B$22,-1),0,1,1)</f>
        <v>#N/A</v>
      </c>
      <c r="C30" s="167"/>
      <c r="D30" s="168" t="s">
        <v>14</v>
      </c>
      <c r="E30" s="169"/>
      <c r="F30" s="170"/>
      <c r="G30" s="178">
        <f>$J$16</f>
        <v>0</v>
      </c>
      <c r="H30" s="179"/>
      <c r="I30" s="55">
        <f t="shared" si="2"/>
        <v>0</v>
      </c>
      <c r="J30" s="180">
        <f>INT(($J$12-53)/25)*25</f>
        <v>-75</v>
      </c>
      <c r="K30" s="181"/>
      <c r="L30" s="39"/>
    </row>
    <row r="31" spans="1:12" ht="15.75" customHeight="1" x14ac:dyDescent="0.45">
      <c r="A31" s="36">
        <v>8</v>
      </c>
      <c r="B31" s="165" t="str">
        <f>"09820"</f>
        <v>09820</v>
      </c>
      <c r="C31" s="167"/>
      <c r="D31" s="175" t="s">
        <v>17</v>
      </c>
      <c r="E31" s="176"/>
      <c r="F31" s="177"/>
      <c r="G31" s="168" t="str">
        <f>"-"</f>
        <v>-</v>
      </c>
      <c r="H31" s="170"/>
      <c r="I31" s="55">
        <f>4*$J$21</f>
        <v>0</v>
      </c>
      <c r="J31" s="180"/>
      <c r="K31" s="181"/>
      <c r="L31" s="39"/>
    </row>
    <row r="32" spans="1:12" ht="15.75" customHeight="1" x14ac:dyDescent="0.45">
      <c r="A32" s="36">
        <v>9</v>
      </c>
      <c r="B32" s="165" t="str">
        <f>"09821"</f>
        <v>09821</v>
      </c>
      <c r="C32" s="167"/>
      <c r="D32" s="175" t="s">
        <v>18</v>
      </c>
      <c r="E32" s="176"/>
      <c r="F32" s="177"/>
      <c r="G32" s="168" t="str">
        <f>"-"</f>
        <v>-</v>
      </c>
      <c r="H32" s="170"/>
      <c r="I32" s="55">
        <f>4*$J$21</f>
        <v>0</v>
      </c>
      <c r="J32" s="180"/>
      <c r="K32" s="181"/>
      <c r="L32" s="39"/>
    </row>
    <row r="33" spans="1:12" ht="15.75" customHeight="1" x14ac:dyDescent="0.45">
      <c r="A33" s="36">
        <v>10</v>
      </c>
      <c r="B33" s="165">
        <v>88200</v>
      </c>
      <c r="C33" s="167"/>
      <c r="D33" s="175" t="s">
        <v>16</v>
      </c>
      <c r="E33" s="176"/>
      <c r="F33" s="177"/>
      <c r="G33" s="168" t="str">
        <f>"-"</f>
        <v>-</v>
      </c>
      <c r="H33" s="170"/>
      <c r="I33" s="55">
        <f>4*$J$21</f>
        <v>0</v>
      </c>
      <c r="J33" s="180"/>
      <c r="K33" s="181"/>
      <c r="L33" s="39"/>
    </row>
    <row r="34" spans="1:12" ht="15.4" x14ac:dyDescent="0.45">
      <c r="A34" s="36">
        <v>11</v>
      </c>
      <c r="B34" s="165">
        <v>303041</v>
      </c>
      <c r="C34" s="167"/>
      <c r="D34" s="168" t="s">
        <v>80</v>
      </c>
      <c r="E34" s="169"/>
      <c r="F34" s="170"/>
      <c r="G34" s="168" t="str">
        <f>"-"</f>
        <v>-</v>
      </c>
      <c r="H34" s="170"/>
      <c r="I34" s="55">
        <f t="shared" si="2"/>
        <v>0</v>
      </c>
      <c r="J34" s="180">
        <v>2000</v>
      </c>
      <c r="K34" s="181"/>
      <c r="L34" s="40"/>
    </row>
    <row r="35" spans="1:12" ht="15.4" x14ac:dyDescent="0.45">
      <c r="A35" s="36">
        <v>12</v>
      </c>
      <c r="B35" s="165" t="e" cm="1">
        <f t="array" aca="1" ref="B35" ca="1">OFFSET('Таблица с данными'!$B$42,MATCH($J$18&amp;$J$14,'Таблица с данными'!$B$43:$B$58&amp;'Таблица с данными'!$C$43:$C$58,0),2,1,1)</f>
        <v>#N/A</v>
      </c>
      <c r="C35" s="167"/>
      <c r="D35" s="165" t="str">
        <f>IF($J$18="Скрытый, врезной", "Комплект скрытых пд",IF($J$18=0,"Полкодержатели",IF($J$18="Нет","Полкодержатели",$J$18)))</f>
        <v/>
      </c>
      <c r="E35" s="166"/>
      <c r="F35" s="167"/>
      <c r="G35" s="165">
        <f>IF($D$35="Полкодержатели","-",IF($D$35="Граната, врезной","-",$J$14))</f>
        <v>0</v>
      </c>
      <c r="H35" s="167"/>
      <c r="I35" s="81" t="e">
        <f ca="1">OFFSET('Таблица с данными'!$B$30,MATCH('Лист заказа Moonlight'!$H$18,'Таблица с данными'!$B$31:$B$34,0),4,1,1)*$J$21</f>
        <v>#N/A</v>
      </c>
      <c r="J35" s="180"/>
      <c r="K35" s="181"/>
      <c r="L35" s="39"/>
    </row>
    <row r="36" spans="1:12" ht="15.4" x14ac:dyDescent="0.4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 ht="20.25" thickBot="1" x14ac:dyDescent="0.55000000000000004">
      <c r="A37" s="182" t="s">
        <v>71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</row>
    <row r="38" spans="1:12" ht="15.75" thickBot="1" x14ac:dyDescent="0.5">
      <c r="A38" s="151" t="s">
        <v>5</v>
      </c>
      <c r="B38" s="152"/>
      <c r="C38" s="183"/>
      <c r="D38" s="151" t="s">
        <v>6</v>
      </c>
      <c r="E38" s="152"/>
      <c r="F38" s="183"/>
      <c r="G38" s="151" t="s">
        <v>7</v>
      </c>
      <c r="H38" s="183"/>
      <c r="I38" s="151" t="s">
        <v>74</v>
      </c>
      <c r="J38" s="183"/>
      <c r="K38" s="145" t="s">
        <v>72</v>
      </c>
      <c r="L38" s="147"/>
    </row>
    <row r="39" spans="1:12" ht="15.75" customHeight="1" x14ac:dyDescent="0.45">
      <c r="A39" s="159" t="str" cm="1">
        <f t="array" aca="1" ref="A39" ca="1">"131.741.3760."&amp;OFFSET('Таблица с данными'!$B$2,MATCH('Лист заказа Moonlight'!$D$16,'Таблица с данными'!$B$3:$B$6,0),1,COUNTIFS('Таблица с данными'!$B$3:$B$6,'Лист заказа Moonlight'!$D$16),1)</f>
        <v>131.741.3760.C</v>
      </c>
      <c r="B39" s="160"/>
      <c r="C39" s="161"/>
      <c r="D39" s="162" t="s">
        <v>11</v>
      </c>
      <c r="E39" s="163"/>
      <c r="F39" s="164"/>
      <c r="G39" s="159">
        <f>$J$14</f>
        <v>0</v>
      </c>
      <c r="H39" s="161"/>
      <c r="I39" s="159">
        <f>$J$24*$I$24</f>
        <v>0</v>
      </c>
      <c r="J39" s="161"/>
      <c r="K39" s="173">
        <f>$I$39/3760</f>
        <v>0</v>
      </c>
      <c r="L39" s="174"/>
    </row>
    <row r="40" spans="1:12" ht="15.75" customHeight="1" x14ac:dyDescent="0.45">
      <c r="A40" s="165" t="str" cm="1">
        <f t="array" aca="1" ref="A40" ca="1">"131.740.3760."&amp;OFFSET('Таблица с данными'!$B$2,MATCH('Лист заказа Moonlight'!$D$16,'Таблица с данными'!$B$3:$B$6,0),1,COUNTIFS('Таблица с данными'!$B$3:$B$6,'Лист заказа Moonlight'!$D$16),1)</f>
        <v>131.740.3760.C</v>
      </c>
      <c r="B40" s="166"/>
      <c r="C40" s="167"/>
      <c r="D40" s="168" t="s">
        <v>73</v>
      </c>
      <c r="E40" s="169"/>
      <c r="F40" s="170"/>
      <c r="G40" s="165">
        <f>$J$14</f>
        <v>0</v>
      </c>
      <c r="H40" s="167"/>
      <c r="I40" s="165">
        <f>$J$25*$I$25+$J$26*$I$26+$J$27*$I$27</f>
        <v>0</v>
      </c>
      <c r="J40" s="167"/>
      <c r="K40" s="171">
        <f>$I$40/3760</f>
        <v>0</v>
      </c>
      <c r="L40" s="172"/>
    </row>
    <row r="41" spans="1:12" ht="15.75" customHeight="1" x14ac:dyDescent="0.45">
      <c r="A41" s="165" t="str" cm="1">
        <f t="array" aca="1" ref="A41" ca="1">"SOM0"&amp;OFFSET('Таблица с данными'!$B$9,MATCH('Лист заказа Moonlight'!$E$16,'Таблица с данными'!$B$10:$B$11,0),1,COUNTIFS('Таблица с данными'!$B$10:$B$11,'Лист заказа Moonlight'!$E$16),1)&amp;"7-3700"</f>
        <v>SOM07-3700</v>
      </c>
      <c r="B41" s="166"/>
      <c r="C41" s="167"/>
      <c r="D41" s="168" t="s">
        <v>13</v>
      </c>
      <c r="E41" s="169"/>
      <c r="F41" s="170"/>
      <c r="G41" s="165">
        <f>$J$15</f>
        <v>0</v>
      </c>
      <c r="H41" s="167"/>
      <c r="I41" s="165">
        <f>$J$29*$I$29</f>
        <v>0</v>
      </c>
      <c r="J41" s="167"/>
      <c r="K41" s="171">
        <f>$I$41/3700</f>
        <v>0</v>
      </c>
      <c r="L41" s="172"/>
    </row>
    <row r="42" spans="1:12" ht="15.4" x14ac:dyDescent="0.4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 ht="15.4" x14ac:dyDescent="0.4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 ht="19.899999999999999" x14ac:dyDescent="0.5">
      <c r="A44" s="123" t="s">
        <v>66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</row>
    <row r="45" spans="1:12" ht="15.75" thickBot="1" x14ac:dyDescent="0.5">
      <c r="A45" s="41"/>
      <c r="B45" s="41"/>
      <c r="C45" s="41"/>
      <c r="D45" s="41"/>
      <c r="E45" s="41"/>
      <c r="F45" s="41"/>
      <c r="G45" s="41"/>
      <c r="H45" s="41"/>
      <c r="I45" s="41"/>
      <c r="J45" s="42"/>
      <c r="K45" s="42"/>
      <c r="L45" s="26"/>
    </row>
    <row r="46" spans="1:12" ht="15.75" thickBot="1" x14ac:dyDescent="0.5">
      <c r="A46" s="41"/>
      <c r="B46" s="41"/>
      <c r="C46" s="41"/>
      <c r="D46" s="41"/>
      <c r="E46" s="41"/>
      <c r="F46" s="153" t="s">
        <v>64</v>
      </c>
      <c r="G46" s="154"/>
      <c r="H46" s="154"/>
      <c r="I46" s="155"/>
      <c r="J46" s="156">
        <f>$J$25</f>
        <v>-11</v>
      </c>
      <c r="K46" s="156"/>
      <c r="L46" s="157"/>
    </row>
    <row r="47" spans="1:12" ht="15.75" thickBot="1" x14ac:dyDescent="0.5">
      <c r="A47" s="41"/>
      <c r="B47" s="41"/>
      <c r="C47" s="41"/>
      <c r="D47" s="41"/>
      <c r="E47" s="41"/>
      <c r="F47" s="153" t="s">
        <v>50</v>
      </c>
      <c r="G47" s="154"/>
      <c r="H47" s="154"/>
      <c r="I47" s="155"/>
      <c r="J47" s="158" t="str">
        <f>$J$19</f>
        <v/>
      </c>
      <c r="K47" s="156"/>
      <c r="L47" s="157"/>
    </row>
    <row r="48" spans="1:12" ht="15.75" thickBot="1" x14ac:dyDescent="0.5">
      <c r="A48" s="41"/>
      <c r="B48" s="41"/>
      <c r="C48" s="41"/>
      <c r="D48" s="41"/>
      <c r="E48" s="41"/>
      <c r="F48" s="153" t="s">
        <v>51</v>
      </c>
      <c r="G48" s="154"/>
      <c r="H48" s="154"/>
      <c r="I48" s="155"/>
      <c r="J48" s="158" t="str">
        <f>$J$20</f>
        <v/>
      </c>
      <c r="K48" s="156"/>
      <c r="L48" s="157"/>
    </row>
    <row r="49" spans="1:12" ht="15.75" thickBot="1" x14ac:dyDescent="0.5">
      <c r="A49" s="41"/>
      <c r="B49" s="41"/>
      <c r="C49" s="41"/>
      <c r="D49" s="41"/>
      <c r="E49" s="41"/>
      <c r="F49" s="153" t="s">
        <v>52</v>
      </c>
      <c r="G49" s="154"/>
      <c r="H49" s="154"/>
      <c r="I49" s="155"/>
      <c r="J49" s="158" t="str">
        <f>$J$21&amp;"*2"</f>
        <v>0*2</v>
      </c>
      <c r="K49" s="156"/>
      <c r="L49" s="157"/>
    </row>
    <row r="50" spans="1:12" ht="15.4" x14ac:dyDescent="0.45">
      <c r="A50" s="41"/>
      <c r="B50" s="41"/>
      <c r="C50" s="41"/>
      <c r="D50" s="41"/>
      <c r="E50" s="41"/>
      <c r="F50" s="41"/>
      <c r="G50" s="41"/>
      <c r="H50" s="44"/>
      <c r="I50" s="44"/>
      <c r="J50" s="44"/>
      <c r="K50" s="46"/>
      <c r="L50" s="26"/>
    </row>
    <row r="51" spans="1:12" ht="15.4" x14ac:dyDescent="0.45">
      <c r="A51" s="41"/>
      <c r="B51" s="41"/>
      <c r="C51" s="41"/>
      <c r="D51" s="41"/>
      <c r="E51" s="41"/>
      <c r="F51" s="41"/>
      <c r="G51" s="41"/>
      <c r="H51" s="28"/>
      <c r="I51" s="28"/>
      <c r="J51" s="28"/>
      <c r="K51" s="28"/>
      <c r="L51" s="26"/>
    </row>
    <row r="52" spans="1:12" ht="15.4" x14ac:dyDescent="0.45">
      <c r="A52" s="41"/>
      <c r="B52" s="41"/>
      <c r="C52" s="41"/>
      <c r="D52" s="41"/>
      <c r="E52" s="41"/>
      <c r="F52" s="41"/>
      <c r="G52" s="41"/>
      <c r="H52" s="28"/>
      <c r="I52" s="28"/>
      <c r="J52" s="28"/>
      <c r="K52" s="28"/>
      <c r="L52" s="26"/>
    </row>
    <row r="53" spans="1:12" ht="15.4" x14ac:dyDescent="0.45">
      <c r="A53" s="41"/>
      <c r="B53" s="41"/>
      <c r="C53" s="41"/>
      <c r="D53" s="41"/>
      <c r="E53" s="41"/>
      <c r="F53" s="41"/>
      <c r="G53" s="41"/>
      <c r="H53" s="44"/>
      <c r="I53" s="44"/>
      <c r="J53" s="44"/>
      <c r="K53" s="44"/>
      <c r="L53" s="45"/>
    </row>
    <row r="54" spans="1:12" ht="15.75" thickBot="1" x14ac:dyDescent="0.5">
      <c r="A54" s="28"/>
      <c r="B54" s="28"/>
      <c r="C54" s="28"/>
      <c r="D54" s="28"/>
      <c r="E54" s="28"/>
      <c r="F54" s="28"/>
      <c r="G54" s="28"/>
      <c r="H54" s="28"/>
      <c r="I54" s="28"/>
      <c r="J54" s="35"/>
      <c r="K54" s="35"/>
      <c r="L54" s="26"/>
    </row>
    <row r="55" spans="1:12" ht="16.5" customHeight="1" thickBot="1" x14ac:dyDescent="0.5">
      <c r="A55" s="151" t="s">
        <v>59</v>
      </c>
      <c r="B55" s="152"/>
      <c r="C55" s="152"/>
      <c r="D55" s="152"/>
      <c r="E55" s="152"/>
      <c r="F55" s="152"/>
      <c r="G55" s="145" t="s">
        <v>60</v>
      </c>
      <c r="H55" s="146"/>
      <c r="I55" s="146"/>
      <c r="J55" s="146"/>
      <c r="K55" s="146"/>
      <c r="L55" s="147"/>
    </row>
    <row r="56" spans="1:12" ht="15.75" thickBot="1" x14ac:dyDescent="0.5">
      <c r="A56" s="149"/>
      <c r="B56" s="149"/>
      <c r="C56" s="149"/>
      <c r="D56" s="149"/>
      <c r="E56" s="149"/>
      <c r="F56" s="149"/>
      <c r="G56" s="148"/>
      <c r="H56" s="149"/>
      <c r="I56" s="149"/>
      <c r="J56" s="149"/>
      <c r="K56" s="149"/>
      <c r="L56" s="150"/>
    </row>
  </sheetData>
  <sheetProtection algorithmName="SHA-512" hashValue="GLuXcSAW7plYC3qCzARy3/bCkl8toUVgbKKAuEx4oX4qGI7QQElFbiPhrcCVRtTRxGzMiFJf+wjcqC7gUvIAow==" saltValue="N5WsTYKsoNKOCtzHnA/s5A==" spinCount="100000" sheet="1" objects="1" scenarios="1"/>
  <mergeCells count="112">
    <mergeCell ref="F49:I49"/>
    <mergeCell ref="J49:L49"/>
    <mergeCell ref="A55:F55"/>
    <mergeCell ref="G55:L55"/>
    <mergeCell ref="A56:F56"/>
    <mergeCell ref="G56:L56"/>
    <mergeCell ref="F46:I46"/>
    <mergeCell ref="J46:L46"/>
    <mergeCell ref="F47:I47"/>
    <mergeCell ref="J47:L47"/>
    <mergeCell ref="F48:I48"/>
    <mergeCell ref="J48:L48"/>
    <mergeCell ref="A41:C41"/>
    <mergeCell ref="D41:F41"/>
    <mergeCell ref="G41:H41"/>
    <mergeCell ref="I41:J41"/>
    <mergeCell ref="K41:L41"/>
    <mergeCell ref="A44:L44"/>
    <mergeCell ref="A39:C39"/>
    <mergeCell ref="D39:F39"/>
    <mergeCell ref="G39:H39"/>
    <mergeCell ref="I39:J39"/>
    <mergeCell ref="K39:L39"/>
    <mergeCell ref="A40:C40"/>
    <mergeCell ref="D40:F40"/>
    <mergeCell ref="G40:H40"/>
    <mergeCell ref="I40:J40"/>
    <mergeCell ref="K40:L40"/>
    <mergeCell ref="B35:C35"/>
    <mergeCell ref="D35:F35"/>
    <mergeCell ref="G35:H35"/>
    <mergeCell ref="J35:K35"/>
    <mergeCell ref="A37:L37"/>
    <mergeCell ref="A38:C38"/>
    <mergeCell ref="D38:F38"/>
    <mergeCell ref="G38:H38"/>
    <mergeCell ref="I38:J38"/>
    <mergeCell ref="K38:L38"/>
    <mergeCell ref="B34:C34"/>
    <mergeCell ref="D34:F34"/>
    <mergeCell ref="G34:H34"/>
    <mergeCell ref="J34:K34"/>
    <mergeCell ref="B32:C32"/>
    <mergeCell ref="D32:F32"/>
    <mergeCell ref="G32:H32"/>
    <mergeCell ref="J32:K32"/>
    <mergeCell ref="B33:C33"/>
    <mergeCell ref="D33:F33"/>
    <mergeCell ref="G33:H33"/>
    <mergeCell ref="J33:K33"/>
    <mergeCell ref="B30:C30"/>
    <mergeCell ref="D30:F30"/>
    <mergeCell ref="G30:H30"/>
    <mergeCell ref="J30:K30"/>
    <mergeCell ref="B31:C31"/>
    <mergeCell ref="D31:F31"/>
    <mergeCell ref="G31:H31"/>
    <mergeCell ref="J31:K31"/>
    <mergeCell ref="B28:C28"/>
    <mergeCell ref="D28:F28"/>
    <mergeCell ref="G28:H28"/>
    <mergeCell ref="J28:K28"/>
    <mergeCell ref="B29:C29"/>
    <mergeCell ref="D29:F29"/>
    <mergeCell ref="G29:H29"/>
    <mergeCell ref="J29:K29"/>
    <mergeCell ref="B26:C26"/>
    <mergeCell ref="D26:F26"/>
    <mergeCell ref="G26:H26"/>
    <mergeCell ref="J26:K26"/>
    <mergeCell ref="B27:C27"/>
    <mergeCell ref="D27:F27"/>
    <mergeCell ref="G27:H27"/>
    <mergeCell ref="J27:K27"/>
    <mergeCell ref="B24:C24"/>
    <mergeCell ref="D24:F24"/>
    <mergeCell ref="G24:H24"/>
    <mergeCell ref="J24:K24"/>
    <mergeCell ref="B25:C25"/>
    <mergeCell ref="D25:F25"/>
    <mergeCell ref="G25:H25"/>
    <mergeCell ref="J25:K25"/>
    <mergeCell ref="B23:C23"/>
    <mergeCell ref="D23:F23"/>
    <mergeCell ref="G23:H23"/>
    <mergeCell ref="J23:K23"/>
    <mergeCell ref="G18:I18"/>
    <mergeCell ref="J18:L18"/>
    <mergeCell ref="G19:I19"/>
    <mergeCell ref="J19:L19"/>
    <mergeCell ref="G20:I20"/>
    <mergeCell ref="J20:L20"/>
    <mergeCell ref="G17:I17"/>
    <mergeCell ref="J17:L17"/>
    <mergeCell ref="G12:I12"/>
    <mergeCell ref="J12:L12"/>
    <mergeCell ref="G13:I13"/>
    <mergeCell ref="J13:L13"/>
    <mergeCell ref="G14:I14"/>
    <mergeCell ref="J14:L14"/>
    <mergeCell ref="G21:I21"/>
    <mergeCell ref="J21:L21"/>
    <mergeCell ref="A7:L7"/>
    <mergeCell ref="A8:L8"/>
    <mergeCell ref="G10:I10"/>
    <mergeCell ref="J10:L10"/>
    <mergeCell ref="G11:I11"/>
    <mergeCell ref="J11:L11"/>
    <mergeCell ref="G15:I15"/>
    <mergeCell ref="J15:L15"/>
    <mergeCell ref="G16:I16"/>
    <mergeCell ref="J16:L16"/>
  </mergeCells>
  <pageMargins left="0.7" right="0.7" top="0.75" bottom="0.75" header="0.3" footer="0.3"/>
  <pageSetup paperSize="9" scale="6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A66DC-EF45-4166-A785-16A5BD8BCF17}">
  <sheetPr codeName="Лист7">
    <pageSetUpPr fitToPage="1"/>
  </sheetPr>
  <dimension ref="A1:L56"/>
  <sheetViews>
    <sheetView zoomScaleNormal="100" workbookViewId="0">
      <selection activeCell="A8" sqref="A8:L8"/>
    </sheetView>
  </sheetViews>
  <sheetFormatPr defaultRowHeight="14.25" x14ac:dyDescent="0.45"/>
  <sheetData>
    <row r="1" spans="1:12" ht="15.4" x14ac:dyDescent="0.45">
      <c r="A1" s="26"/>
      <c r="B1" s="26"/>
      <c r="C1" s="26"/>
      <c r="D1" s="26"/>
      <c r="E1" s="26"/>
      <c r="F1" s="26"/>
      <c r="G1" s="26"/>
      <c r="H1" s="26"/>
      <c r="I1" s="26"/>
      <c r="J1" s="27"/>
      <c r="K1" s="27"/>
      <c r="L1" s="26"/>
    </row>
    <row r="2" spans="1:12" ht="15.4" x14ac:dyDescent="0.45">
      <c r="A2" s="26"/>
      <c r="B2" s="26"/>
      <c r="C2" s="26"/>
      <c r="D2" s="26"/>
      <c r="E2" s="26"/>
      <c r="F2" s="26"/>
      <c r="G2" s="26"/>
      <c r="H2" s="26"/>
      <c r="I2" s="26"/>
      <c r="J2" s="27"/>
      <c r="K2" s="27"/>
      <c r="L2" s="26"/>
    </row>
    <row r="3" spans="1:12" ht="15.4" x14ac:dyDescent="0.45">
      <c r="A3" s="26"/>
      <c r="B3" s="26"/>
      <c r="C3" s="26"/>
      <c r="D3" s="26"/>
      <c r="E3" s="26"/>
      <c r="F3" s="26"/>
      <c r="G3" s="26"/>
      <c r="H3" s="26"/>
      <c r="I3" s="26"/>
      <c r="J3" s="27"/>
      <c r="K3" s="27"/>
      <c r="L3" s="26"/>
    </row>
    <row r="4" spans="1:12" ht="15.4" x14ac:dyDescent="0.45">
      <c r="A4" s="26"/>
      <c r="B4" s="26"/>
      <c r="C4" s="26"/>
      <c r="D4" s="26"/>
      <c r="E4" s="26"/>
      <c r="F4" s="26"/>
      <c r="G4" s="26"/>
      <c r="H4" s="26"/>
      <c r="I4" s="26"/>
      <c r="J4" s="27"/>
      <c r="K4" s="27"/>
      <c r="L4" s="26"/>
    </row>
    <row r="5" spans="1:12" ht="15.4" x14ac:dyDescent="0.45">
      <c r="A5" s="26"/>
      <c r="B5" s="26"/>
      <c r="C5" s="26"/>
      <c r="D5" s="26"/>
      <c r="E5" s="26"/>
      <c r="F5" s="26"/>
      <c r="G5" s="26"/>
      <c r="H5" s="26"/>
      <c r="I5" s="26"/>
      <c r="J5" s="27"/>
      <c r="K5" s="27"/>
      <c r="L5" s="26"/>
    </row>
    <row r="6" spans="1:12" ht="15.4" x14ac:dyDescent="0.45">
      <c r="A6" s="26"/>
      <c r="B6" s="26"/>
      <c r="C6" s="26"/>
      <c r="D6" s="26"/>
      <c r="E6" s="26"/>
      <c r="F6" s="26"/>
      <c r="G6" s="26"/>
      <c r="H6" s="26"/>
      <c r="I6" s="26"/>
      <c r="J6" s="27"/>
      <c r="K6" s="27"/>
      <c r="L6" s="26"/>
    </row>
    <row r="7" spans="1:12" ht="19.899999999999999" x14ac:dyDescent="0.5">
      <c r="A7" s="123" t="str">
        <f ca="1">"Спецификация арт. " &amp; 'Лист заказа Moonlight'!$K$19</f>
        <v xml:space="preserve">Спецификация арт. 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</row>
    <row r="8" spans="1:12" ht="17.25" x14ac:dyDescent="0.45">
      <c r="A8" s="184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</row>
    <row r="9" spans="1:12" ht="15.75" thickBot="1" x14ac:dyDescent="0.5">
      <c r="A9" s="26"/>
      <c r="B9" s="26"/>
      <c r="C9" s="26"/>
      <c r="D9" s="26"/>
      <c r="E9" s="26"/>
      <c r="F9" s="26"/>
      <c r="G9" s="26"/>
      <c r="H9" s="26"/>
      <c r="I9" s="26"/>
      <c r="J9" s="27"/>
      <c r="K9" s="27"/>
      <c r="L9" s="26"/>
    </row>
    <row r="10" spans="1:12" ht="15.75" thickBot="1" x14ac:dyDescent="0.5">
      <c r="A10" s="26"/>
      <c r="B10" s="26"/>
      <c r="C10" s="26"/>
      <c r="D10" s="26"/>
      <c r="E10" s="26"/>
      <c r="F10" s="28"/>
      <c r="G10" s="185" t="s">
        <v>41</v>
      </c>
      <c r="H10" s="186"/>
      <c r="I10" s="187"/>
      <c r="J10" s="204">
        <f>'Лист заказа Moonlight'!$D$8</f>
        <v>0</v>
      </c>
      <c r="K10" s="205"/>
      <c r="L10" s="206"/>
    </row>
    <row r="11" spans="1:12" ht="15.75" thickBot="1" x14ac:dyDescent="0.5">
      <c r="A11" s="26"/>
      <c r="B11" s="26"/>
      <c r="C11" s="26"/>
      <c r="D11" s="26"/>
      <c r="E11" s="26"/>
      <c r="F11" s="28"/>
      <c r="G11" s="185" t="s">
        <v>54</v>
      </c>
      <c r="H11" s="186"/>
      <c r="I11" s="187"/>
      <c r="J11" s="191">
        <v>4</v>
      </c>
      <c r="K11" s="189"/>
      <c r="L11" s="190"/>
    </row>
    <row r="12" spans="1:12" ht="15.75" thickBot="1" x14ac:dyDescent="0.5">
      <c r="A12" s="26"/>
      <c r="B12" s="26"/>
      <c r="C12" s="26"/>
      <c r="D12" s="26"/>
      <c r="E12" s="26"/>
      <c r="F12" s="28"/>
      <c r="G12" s="185" t="s">
        <v>0</v>
      </c>
      <c r="H12" s="186"/>
      <c r="I12" s="187"/>
      <c r="J12" s="191">
        <f>'Лист заказа Moonlight'!$B$19</f>
        <v>0</v>
      </c>
      <c r="K12" s="189"/>
      <c r="L12" s="190"/>
    </row>
    <row r="13" spans="1:12" ht="15.75" thickBot="1" x14ac:dyDescent="0.5">
      <c r="A13" s="26"/>
      <c r="B13" s="26"/>
      <c r="C13" s="26"/>
      <c r="D13" s="26"/>
      <c r="E13" s="26"/>
      <c r="F13" s="28"/>
      <c r="G13" s="192" t="s">
        <v>1</v>
      </c>
      <c r="H13" s="193"/>
      <c r="I13" s="194"/>
      <c r="J13" s="191">
        <f>'Лист заказа Moonlight'!$C$19</f>
        <v>0</v>
      </c>
      <c r="K13" s="189"/>
      <c r="L13" s="190"/>
    </row>
    <row r="14" spans="1:12" ht="15.75" thickBot="1" x14ac:dyDescent="0.5">
      <c r="A14" s="26"/>
      <c r="B14" s="26"/>
      <c r="C14" s="26"/>
      <c r="D14" s="26"/>
      <c r="E14" s="26"/>
      <c r="F14" s="28"/>
      <c r="G14" s="185" t="s">
        <v>2</v>
      </c>
      <c r="H14" s="186"/>
      <c r="I14" s="187"/>
      <c r="J14" s="191">
        <f>'Лист заказа Moonlight'!$D$19</f>
        <v>0</v>
      </c>
      <c r="K14" s="189"/>
      <c r="L14" s="190"/>
    </row>
    <row r="15" spans="1:12" ht="15.75" thickBot="1" x14ac:dyDescent="0.5">
      <c r="A15" s="26"/>
      <c r="B15" s="26"/>
      <c r="C15" s="32"/>
      <c r="D15" s="26"/>
      <c r="E15" s="26"/>
      <c r="F15" s="28"/>
      <c r="G15" s="185" t="s">
        <v>3</v>
      </c>
      <c r="H15" s="186"/>
      <c r="I15" s="187"/>
      <c r="J15" s="191">
        <f>'Лист заказа Moonlight'!$E$19</f>
        <v>0</v>
      </c>
      <c r="K15" s="189"/>
      <c r="L15" s="190"/>
    </row>
    <row r="16" spans="1:12" ht="15.75" thickBot="1" x14ac:dyDescent="0.5">
      <c r="A16" s="26"/>
      <c r="B16" s="26"/>
      <c r="C16" s="26"/>
      <c r="D16" s="26"/>
      <c r="E16" s="26"/>
      <c r="F16" s="28"/>
      <c r="G16" s="195" t="s">
        <v>4</v>
      </c>
      <c r="H16" s="196"/>
      <c r="I16" s="197"/>
      <c r="J16" s="191">
        <f>'Лист заказа Moonlight'!$F$19</f>
        <v>0</v>
      </c>
      <c r="K16" s="189"/>
      <c r="L16" s="190"/>
    </row>
    <row r="17" spans="1:12" ht="15.75" thickBot="1" x14ac:dyDescent="0.5">
      <c r="A17" s="26"/>
      <c r="B17" s="26"/>
      <c r="C17" s="26"/>
      <c r="D17" s="26"/>
      <c r="E17" s="26"/>
      <c r="F17" s="28"/>
      <c r="G17" s="185" t="s">
        <v>34</v>
      </c>
      <c r="H17" s="186"/>
      <c r="I17" s="187"/>
      <c r="J17" s="191">
        <f>'Лист заказа Moonlight'!$G$19</f>
        <v>0</v>
      </c>
      <c r="K17" s="189"/>
      <c r="L17" s="190"/>
    </row>
    <row r="18" spans="1:12" ht="16.5" customHeight="1" thickBot="1" x14ac:dyDescent="0.5">
      <c r="A18" s="33"/>
      <c r="B18" s="33"/>
      <c r="C18" s="33"/>
      <c r="D18" s="33"/>
      <c r="E18" s="33"/>
      <c r="F18" s="28"/>
      <c r="G18" s="200" t="s">
        <v>49</v>
      </c>
      <c r="H18" s="201"/>
      <c r="I18" s="202"/>
      <c r="J18" s="191" t="str">
        <f>IF('Лист заказа Moonlight'!$H$19=0,"",'Лист заказа Moonlight'!$H$19)</f>
        <v/>
      </c>
      <c r="K18" s="189"/>
      <c r="L18" s="190"/>
    </row>
    <row r="19" spans="1:12" ht="15.75" thickBot="1" x14ac:dyDescent="0.5">
      <c r="A19" s="26"/>
      <c r="B19" s="26"/>
      <c r="C19" s="26"/>
      <c r="D19" s="26"/>
      <c r="E19" s="26"/>
      <c r="F19" s="28"/>
      <c r="G19" s="192" t="s">
        <v>92</v>
      </c>
      <c r="H19" s="193"/>
      <c r="I19" s="194"/>
      <c r="J19" s="191" t="str">
        <f>IF('Лист заказа Moonlight'!$I$19=0,"",'Лист заказа Moonlight'!$I$19-11)</f>
        <v/>
      </c>
      <c r="K19" s="189"/>
      <c r="L19" s="190"/>
    </row>
    <row r="20" spans="1:12" ht="15.75" thickBot="1" x14ac:dyDescent="0.5">
      <c r="A20" s="26"/>
      <c r="B20" s="26"/>
      <c r="C20" s="26"/>
      <c r="D20" s="26"/>
      <c r="E20" s="26"/>
      <c r="F20" s="28"/>
      <c r="G20" s="185" t="s">
        <v>89</v>
      </c>
      <c r="H20" s="186"/>
      <c r="I20" s="187"/>
      <c r="J20" s="191" t="str">
        <f>IF('Лист заказа Moonlight'!$J$19=0,"",'Лист заказа Moonlight'!$J$19)</f>
        <v/>
      </c>
      <c r="K20" s="189"/>
      <c r="L20" s="190"/>
    </row>
    <row r="21" spans="1:12" ht="16.5" customHeight="1" thickBot="1" x14ac:dyDescent="0.5">
      <c r="A21" s="26"/>
      <c r="B21" s="26"/>
      <c r="C21" s="26"/>
      <c r="D21" s="26"/>
      <c r="E21" s="26"/>
      <c r="F21" s="28"/>
      <c r="G21" s="185" t="s">
        <v>52</v>
      </c>
      <c r="H21" s="186"/>
      <c r="I21" s="187"/>
      <c r="J21" s="203">
        <f>'Лист заказа Moonlight'!$N$19</f>
        <v>0</v>
      </c>
      <c r="K21" s="189"/>
      <c r="L21" s="190"/>
    </row>
    <row r="22" spans="1:12" ht="15.75" thickBot="1" x14ac:dyDescent="0.5">
      <c r="A22" s="26"/>
      <c r="B22" s="26"/>
      <c r="C22" s="26"/>
      <c r="D22" s="26"/>
      <c r="E22" s="26"/>
      <c r="F22" s="26"/>
      <c r="G22" s="26"/>
      <c r="H22" s="26"/>
      <c r="I22" s="26"/>
      <c r="J22" s="27"/>
      <c r="K22" s="27"/>
      <c r="L22" s="26"/>
    </row>
    <row r="23" spans="1:12" ht="15.75" thickBot="1" x14ac:dyDescent="0.5">
      <c r="A23" s="52" t="s">
        <v>65</v>
      </c>
      <c r="B23" s="151" t="s">
        <v>5</v>
      </c>
      <c r="C23" s="183"/>
      <c r="D23" s="151" t="s">
        <v>6</v>
      </c>
      <c r="E23" s="152"/>
      <c r="F23" s="183"/>
      <c r="G23" s="151" t="s">
        <v>7</v>
      </c>
      <c r="H23" s="183"/>
      <c r="I23" s="52" t="s">
        <v>8</v>
      </c>
      <c r="J23" s="145" t="s">
        <v>9</v>
      </c>
      <c r="K23" s="147"/>
      <c r="L23" s="53" t="s">
        <v>55</v>
      </c>
    </row>
    <row r="24" spans="1:12" ht="15.4" x14ac:dyDescent="0.45">
      <c r="A24" s="37">
        <v>1</v>
      </c>
      <c r="B24" s="159" t="e" cm="1">
        <f t="array" aca="1" ref="B24" ca="1">"131.741.3760."&amp;OFFSET('Таблица с данными'!$B$2,MATCH($J$14,'Таблица с данными'!$B$3:$B$6,0),1,COUNTIFS('Таблица с данными'!$B$3:$B$6,$J$14),1)</f>
        <v>#N/A</v>
      </c>
      <c r="C24" s="161"/>
      <c r="D24" s="162" t="s">
        <v>11</v>
      </c>
      <c r="E24" s="163"/>
      <c r="F24" s="164"/>
      <c r="G24" s="159">
        <f>$J$14</f>
        <v>0</v>
      </c>
      <c r="H24" s="161"/>
      <c r="I24" s="55">
        <f>1*$J$21</f>
        <v>0</v>
      </c>
      <c r="J24" s="198">
        <f>$J$12-3</f>
        <v>-3</v>
      </c>
      <c r="K24" s="199"/>
      <c r="L24" s="38"/>
    </row>
    <row r="25" spans="1:12" ht="15.4" x14ac:dyDescent="0.45">
      <c r="A25" s="36">
        <v>2</v>
      </c>
      <c r="B25" s="165" t="e" cm="1">
        <f t="array" aca="1" ref="B25" ca="1">"131.740.3760."&amp;OFFSET('Таблица с данными'!$B$2,MATCH($J$14,'Таблица с данными'!$B$3:$B$6,0),1,COUNTIFS('Таблица с данными'!$B$3:$B$6,$J$14),1)</f>
        <v>#N/A</v>
      </c>
      <c r="C25" s="167"/>
      <c r="D25" s="168" t="s">
        <v>37</v>
      </c>
      <c r="E25" s="169"/>
      <c r="F25" s="170"/>
      <c r="G25" s="165">
        <f>$J$14</f>
        <v>0</v>
      </c>
      <c r="H25" s="167"/>
      <c r="I25" s="55">
        <f t="shared" ref="I25:I27" si="0">1*$J$21</f>
        <v>0</v>
      </c>
      <c r="J25" s="180">
        <f>$J$13-11</f>
        <v>-11</v>
      </c>
      <c r="K25" s="181"/>
      <c r="L25" s="39"/>
    </row>
    <row r="26" spans="1:12" ht="15.4" x14ac:dyDescent="0.45">
      <c r="A26" s="36">
        <v>3</v>
      </c>
      <c r="B26" s="165" t="e" cm="1">
        <f t="array" aca="1" ref="B26" ca="1">"131.740.3760."&amp;OFFSET('Таблица с данными'!$B$2,MATCH($J$14,'Таблица с данными'!$B$3:$B$6,0),1,COUNTIFS('Таблица с данными'!$B$3:$B$6,$J$14),1)</f>
        <v>#N/A</v>
      </c>
      <c r="C26" s="167"/>
      <c r="D26" s="168" t="s">
        <v>38</v>
      </c>
      <c r="E26" s="169"/>
      <c r="F26" s="170"/>
      <c r="G26" s="165">
        <f>$J$14</f>
        <v>0</v>
      </c>
      <c r="H26" s="167"/>
      <c r="I26" s="55">
        <f t="shared" si="0"/>
        <v>0</v>
      </c>
      <c r="J26" s="180">
        <f>$J$13-11</f>
        <v>-11</v>
      </c>
      <c r="K26" s="181"/>
      <c r="L26" s="39"/>
    </row>
    <row r="27" spans="1:12" ht="15.4" x14ac:dyDescent="0.45">
      <c r="A27" s="36">
        <v>4</v>
      </c>
      <c r="B27" s="165" t="e" cm="1">
        <f t="array" aca="1" ref="B27" ca="1">"131.740.3760."&amp;OFFSET('Таблица с данными'!$B$2,MATCH($J$14,'Таблица с данными'!$B$3:$B$6,0),1,COUNTIFS('Таблица с данными'!$B$3:$B$6,$J$14),1)</f>
        <v>#N/A</v>
      </c>
      <c r="C27" s="167"/>
      <c r="D27" s="168" t="s">
        <v>12</v>
      </c>
      <c r="E27" s="169"/>
      <c r="F27" s="170"/>
      <c r="G27" s="165">
        <f>$J$14</f>
        <v>0</v>
      </c>
      <c r="H27" s="167"/>
      <c r="I27" s="55">
        <f t="shared" si="0"/>
        <v>0</v>
      </c>
      <c r="J27" s="180">
        <f>$J$12-24.4</f>
        <v>-24.4</v>
      </c>
      <c r="K27" s="181"/>
      <c r="L27" s="39"/>
    </row>
    <row r="28" spans="1:12" ht="15.4" x14ac:dyDescent="0.45">
      <c r="A28" s="36">
        <v>5</v>
      </c>
      <c r="B28" s="165" t="e" cm="1">
        <f t="array" aca="1" ref="B28" ca="1">"00-00002568"&amp;OFFSET('Таблица с данными'!$B$2,MATCH($J$14,'Таблица с данными'!$B$3:$B$6,0),1,COUNTIFS('Таблица с данными'!$B$3:$B$6,$J$14),1)</f>
        <v>#N/A</v>
      </c>
      <c r="C28" s="167"/>
      <c r="D28" s="168" t="s">
        <v>15</v>
      </c>
      <c r="E28" s="169"/>
      <c r="F28" s="170"/>
      <c r="G28" s="165">
        <f t="shared" ref="G28" si="1">$J$14</f>
        <v>0</v>
      </c>
      <c r="H28" s="167"/>
      <c r="I28" s="55">
        <f>1*$J$21</f>
        <v>0</v>
      </c>
      <c r="J28" s="180"/>
      <c r="K28" s="181"/>
      <c r="L28" s="39"/>
    </row>
    <row r="29" spans="1:12" ht="15.4" x14ac:dyDescent="0.45">
      <c r="A29" s="36">
        <v>6</v>
      </c>
      <c r="B29" s="165" t="e" cm="1">
        <f t="array" aca="1" ref="B29" ca="1">"SOM0"&amp;OFFSET('Таблица с данными'!$B$9,MATCH($J$15,'Таблица с данными'!$B$10:$B$11,0),1,COUNTIFS('Таблица с данными'!$B$10:$B$11,$J$15),1)&amp;"7-3700"</f>
        <v>#N/A</v>
      </c>
      <c r="C29" s="167"/>
      <c r="D29" s="168" t="s">
        <v>13</v>
      </c>
      <c r="E29" s="169"/>
      <c r="F29" s="170"/>
      <c r="G29" s="165">
        <f>$J$15</f>
        <v>0</v>
      </c>
      <c r="H29" s="167"/>
      <c r="I29" s="55">
        <f t="shared" ref="I29:I34" si="2">1*$J$21</f>
        <v>0</v>
      </c>
      <c r="J29" s="180">
        <f>$J$12-24.4</f>
        <v>-24.4</v>
      </c>
      <c r="K29" s="181"/>
      <c r="L29" s="39"/>
    </row>
    <row r="30" spans="1:12" ht="15.4" x14ac:dyDescent="0.45">
      <c r="A30" s="36">
        <v>7</v>
      </c>
      <c r="B30" s="165" t="e" cm="1">
        <f t="array" aca="1" ref="B30" ca="1">"305110"&amp;OFFSET('Таблица с данными'!$B$14,MATCH($J$16,'Таблица с данными'!$B$15:$B$16,0),1,COUNTIFS('Таблица с данными'!$B$15:$B$16,$J$16),1)&amp;"W-"&amp;OFFSET('Таблица с данными'!$B$18,MATCH($J$30,'Таблица с данными'!$B$19:$B$22,-1),0,1,1)</f>
        <v>#N/A</v>
      </c>
      <c r="C30" s="167"/>
      <c r="D30" s="168" t="s">
        <v>14</v>
      </c>
      <c r="E30" s="169"/>
      <c r="F30" s="170"/>
      <c r="G30" s="178">
        <f>$J$16</f>
        <v>0</v>
      </c>
      <c r="H30" s="179"/>
      <c r="I30" s="55">
        <f t="shared" si="2"/>
        <v>0</v>
      </c>
      <c r="J30" s="180">
        <f>INT(($J$12-53)/25)*25</f>
        <v>-75</v>
      </c>
      <c r="K30" s="181"/>
      <c r="L30" s="39"/>
    </row>
    <row r="31" spans="1:12" ht="15.75" customHeight="1" x14ac:dyDescent="0.45">
      <c r="A31" s="36">
        <v>8</v>
      </c>
      <c r="B31" s="165" t="str">
        <f>"09820"</f>
        <v>09820</v>
      </c>
      <c r="C31" s="167"/>
      <c r="D31" s="175" t="s">
        <v>17</v>
      </c>
      <c r="E31" s="176"/>
      <c r="F31" s="177"/>
      <c r="G31" s="168" t="str">
        <f>"-"</f>
        <v>-</v>
      </c>
      <c r="H31" s="170"/>
      <c r="I31" s="55">
        <f>4*$J$21</f>
        <v>0</v>
      </c>
      <c r="J31" s="180"/>
      <c r="K31" s="181"/>
      <c r="L31" s="39"/>
    </row>
    <row r="32" spans="1:12" ht="15.75" customHeight="1" x14ac:dyDescent="0.45">
      <c r="A32" s="36">
        <v>9</v>
      </c>
      <c r="B32" s="165" t="str">
        <f>"09821"</f>
        <v>09821</v>
      </c>
      <c r="C32" s="167"/>
      <c r="D32" s="175" t="s">
        <v>18</v>
      </c>
      <c r="E32" s="176"/>
      <c r="F32" s="177"/>
      <c r="G32" s="168" t="str">
        <f>"-"</f>
        <v>-</v>
      </c>
      <c r="H32" s="170"/>
      <c r="I32" s="55">
        <f>4*$J$21</f>
        <v>0</v>
      </c>
      <c r="J32" s="180"/>
      <c r="K32" s="181"/>
      <c r="L32" s="39"/>
    </row>
    <row r="33" spans="1:12" ht="15.75" customHeight="1" x14ac:dyDescent="0.45">
      <c r="A33" s="36">
        <v>10</v>
      </c>
      <c r="B33" s="165">
        <v>88200</v>
      </c>
      <c r="C33" s="167"/>
      <c r="D33" s="175" t="s">
        <v>16</v>
      </c>
      <c r="E33" s="176"/>
      <c r="F33" s="177"/>
      <c r="G33" s="168" t="str">
        <f>"-"</f>
        <v>-</v>
      </c>
      <c r="H33" s="170"/>
      <c r="I33" s="55">
        <f>4*$J$21</f>
        <v>0</v>
      </c>
      <c r="J33" s="180"/>
      <c r="K33" s="181"/>
      <c r="L33" s="39"/>
    </row>
    <row r="34" spans="1:12" ht="15.4" x14ac:dyDescent="0.45">
      <c r="A34" s="36">
        <v>11</v>
      </c>
      <c r="B34" s="165">
        <v>303041</v>
      </c>
      <c r="C34" s="167"/>
      <c r="D34" s="168" t="s">
        <v>80</v>
      </c>
      <c r="E34" s="169"/>
      <c r="F34" s="170"/>
      <c r="G34" s="168" t="str">
        <f>"-"</f>
        <v>-</v>
      </c>
      <c r="H34" s="170"/>
      <c r="I34" s="55">
        <f t="shared" si="2"/>
        <v>0</v>
      </c>
      <c r="J34" s="180">
        <v>2000</v>
      </c>
      <c r="K34" s="181"/>
      <c r="L34" s="40"/>
    </row>
    <row r="35" spans="1:12" ht="15.4" x14ac:dyDescent="0.45">
      <c r="A35" s="36">
        <v>12</v>
      </c>
      <c r="B35" s="165" t="e" cm="1">
        <f t="array" aca="1" ref="B35" ca="1">OFFSET('Таблица с данными'!$B$42,MATCH($J$18&amp;$J$14,'Таблица с данными'!$B$43:$B$58&amp;'Таблица с данными'!$C$43:$C$58,0),2,1,1)</f>
        <v>#N/A</v>
      </c>
      <c r="C35" s="167"/>
      <c r="D35" s="165" t="str">
        <f>IF($J$18="Скрытый, врезной", "Комплект скрытых пд",IF($J$18=0,"Полкодержатели",IF($J$18="Нет","Полкодержатели",$J$18)))</f>
        <v/>
      </c>
      <c r="E35" s="166"/>
      <c r="F35" s="167"/>
      <c r="G35" s="165">
        <f>IF($D$35="Полкодержатели","-",IF($D$35="Граната, врезной","-",$J$14))</f>
        <v>0</v>
      </c>
      <c r="H35" s="167"/>
      <c r="I35" s="81" t="e">
        <f ca="1">OFFSET('Таблица с данными'!$B$30,MATCH('Лист заказа Moonlight'!$H$19,'Таблица с данными'!$B$31:$B$34,0),4,1,1)*$J$21</f>
        <v>#N/A</v>
      </c>
      <c r="J35" s="180"/>
      <c r="K35" s="181"/>
      <c r="L35" s="39"/>
    </row>
    <row r="36" spans="1:12" ht="15.4" x14ac:dyDescent="0.4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 ht="20.25" thickBot="1" x14ac:dyDescent="0.55000000000000004">
      <c r="A37" s="182" t="s">
        <v>71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</row>
    <row r="38" spans="1:12" ht="15.75" thickBot="1" x14ac:dyDescent="0.5">
      <c r="A38" s="151" t="s">
        <v>5</v>
      </c>
      <c r="B38" s="152"/>
      <c r="C38" s="183"/>
      <c r="D38" s="151" t="s">
        <v>6</v>
      </c>
      <c r="E38" s="152"/>
      <c r="F38" s="183"/>
      <c r="G38" s="151" t="s">
        <v>7</v>
      </c>
      <c r="H38" s="183"/>
      <c r="I38" s="151" t="s">
        <v>74</v>
      </c>
      <c r="J38" s="183"/>
      <c r="K38" s="145" t="s">
        <v>72</v>
      </c>
      <c r="L38" s="147"/>
    </row>
    <row r="39" spans="1:12" ht="15.75" customHeight="1" x14ac:dyDescent="0.45">
      <c r="A39" s="159" t="str" cm="1">
        <f t="array" aca="1" ref="A39" ca="1">"131.741.3760."&amp;OFFSET('Таблица с данными'!$B$2,MATCH('Лист заказа Moonlight'!$D$16,'Таблица с данными'!$B$3:$B$6,0),1,COUNTIFS('Таблица с данными'!$B$3:$B$6,'Лист заказа Moonlight'!$D$16),1)</f>
        <v>131.741.3760.C</v>
      </c>
      <c r="B39" s="160"/>
      <c r="C39" s="161"/>
      <c r="D39" s="162" t="s">
        <v>11</v>
      </c>
      <c r="E39" s="163"/>
      <c r="F39" s="164"/>
      <c r="G39" s="159">
        <f>$J$14</f>
        <v>0</v>
      </c>
      <c r="H39" s="161"/>
      <c r="I39" s="159">
        <f>$J$24*$I$24</f>
        <v>0</v>
      </c>
      <c r="J39" s="161"/>
      <c r="K39" s="173">
        <f>$I$39/3760</f>
        <v>0</v>
      </c>
      <c r="L39" s="174"/>
    </row>
    <row r="40" spans="1:12" ht="15.75" customHeight="1" x14ac:dyDescent="0.45">
      <c r="A40" s="165" t="str" cm="1">
        <f t="array" aca="1" ref="A40" ca="1">"131.740.3760."&amp;OFFSET('Таблица с данными'!$B$2,MATCH('Лист заказа Moonlight'!$D$16,'Таблица с данными'!$B$3:$B$6,0),1,COUNTIFS('Таблица с данными'!$B$3:$B$6,'Лист заказа Moonlight'!$D$16),1)</f>
        <v>131.740.3760.C</v>
      </c>
      <c r="B40" s="166"/>
      <c r="C40" s="167"/>
      <c r="D40" s="168" t="s">
        <v>73</v>
      </c>
      <c r="E40" s="169"/>
      <c r="F40" s="170"/>
      <c r="G40" s="165">
        <f>$J$14</f>
        <v>0</v>
      </c>
      <c r="H40" s="167"/>
      <c r="I40" s="165">
        <f>$J$25*$I$25+$J$26*$I$26+$J$27*$I$27</f>
        <v>0</v>
      </c>
      <c r="J40" s="167"/>
      <c r="K40" s="171">
        <f>$I$40/3760</f>
        <v>0</v>
      </c>
      <c r="L40" s="172"/>
    </row>
    <row r="41" spans="1:12" ht="15.75" customHeight="1" x14ac:dyDescent="0.45">
      <c r="A41" s="165" t="str" cm="1">
        <f t="array" aca="1" ref="A41" ca="1">"SOM0"&amp;OFFSET('Таблица с данными'!$B$9,MATCH('Лист заказа Moonlight'!$E$16,'Таблица с данными'!$B$10:$B$11,0),1,COUNTIFS('Таблица с данными'!$B$10:$B$11,'Лист заказа Moonlight'!$E$16),1)&amp;"7-3700"</f>
        <v>SOM07-3700</v>
      </c>
      <c r="B41" s="166"/>
      <c r="C41" s="167"/>
      <c r="D41" s="168" t="s">
        <v>13</v>
      </c>
      <c r="E41" s="169"/>
      <c r="F41" s="170"/>
      <c r="G41" s="165">
        <f>$J$15</f>
        <v>0</v>
      </c>
      <c r="H41" s="167"/>
      <c r="I41" s="165">
        <f>$J$29*$I$29</f>
        <v>0</v>
      </c>
      <c r="J41" s="167"/>
      <c r="K41" s="171">
        <f>$I$41/3700</f>
        <v>0</v>
      </c>
      <c r="L41" s="172"/>
    </row>
    <row r="42" spans="1:12" ht="15.4" x14ac:dyDescent="0.4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 ht="15.4" x14ac:dyDescent="0.4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 ht="19.899999999999999" x14ac:dyDescent="0.5">
      <c r="A44" s="123" t="s">
        <v>66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</row>
    <row r="45" spans="1:12" ht="15.75" thickBot="1" x14ac:dyDescent="0.5">
      <c r="A45" s="41"/>
      <c r="B45" s="41"/>
      <c r="C45" s="41"/>
      <c r="D45" s="41"/>
      <c r="E45" s="41"/>
      <c r="F45" s="41"/>
      <c r="G45" s="41"/>
      <c r="H45" s="41"/>
      <c r="I45" s="41"/>
      <c r="J45" s="42"/>
      <c r="K45" s="42"/>
      <c r="L45" s="26"/>
    </row>
    <row r="46" spans="1:12" ht="15.75" thickBot="1" x14ac:dyDescent="0.5">
      <c r="A46" s="41"/>
      <c r="B46" s="41"/>
      <c r="C46" s="41"/>
      <c r="D46" s="41"/>
      <c r="E46" s="41"/>
      <c r="F46" s="153" t="s">
        <v>64</v>
      </c>
      <c r="G46" s="154"/>
      <c r="H46" s="154"/>
      <c r="I46" s="155"/>
      <c r="J46" s="156">
        <f>$J$25</f>
        <v>-11</v>
      </c>
      <c r="K46" s="156"/>
      <c r="L46" s="157"/>
    </row>
    <row r="47" spans="1:12" ht="15.75" thickBot="1" x14ac:dyDescent="0.5">
      <c r="A47" s="41"/>
      <c r="B47" s="41"/>
      <c r="C47" s="41"/>
      <c r="D47" s="41"/>
      <c r="E47" s="41"/>
      <c r="F47" s="153" t="s">
        <v>50</v>
      </c>
      <c r="G47" s="154"/>
      <c r="H47" s="154"/>
      <c r="I47" s="155"/>
      <c r="J47" s="158" t="str">
        <f>$J$19</f>
        <v/>
      </c>
      <c r="K47" s="156"/>
      <c r="L47" s="157"/>
    </row>
    <row r="48" spans="1:12" ht="15.75" thickBot="1" x14ac:dyDescent="0.5">
      <c r="A48" s="41"/>
      <c r="B48" s="41"/>
      <c r="C48" s="41"/>
      <c r="D48" s="41"/>
      <c r="E48" s="41"/>
      <c r="F48" s="153" t="s">
        <v>51</v>
      </c>
      <c r="G48" s="154"/>
      <c r="H48" s="154"/>
      <c r="I48" s="155"/>
      <c r="J48" s="158" t="str">
        <f>$J$20</f>
        <v/>
      </c>
      <c r="K48" s="156"/>
      <c r="L48" s="157"/>
    </row>
    <row r="49" spans="1:12" ht="15.75" thickBot="1" x14ac:dyDescent="0.5">
      <c r="A49" s="41"/>
      <c r="B49" s="41"/>
      <c r="C49" s="41"/>
      <c r="D49" s="41"/>
      <c r="E49" s="41"/>
      <c r="F49" s="153" t="s">
        <v>52</v>
      </c>
      <c r="G49" s="154"/>
      <c r="H49" s="154"/>
      <c r="I49" s="155"/>
      <c r="J49" s="158" t="str">
        <f>$J$21&amp;"*2"</f>
        <v>0*2</v>
      </c>
      <c r="K49" s="156"/>
      <c r="L49" s="157"/>
    </row>
    <row r="50" spans="1:12" ht="15.4" x14ac:dyDescent="0.45">
      <c r="A50" s="41"/>
      <c r="B50" s="41"/>
      <c r="C50" s="41"/>
      <c r="D50" s="41"/>
      <c r="E50" s="41"/>
      <c r="F50" s="41"/>
      <c r="G50" s="41"/>
      <c r="H50" s="44"/>
      <c r="I50" s="44"/>
      <c r="J50" s="44"/>
      <c r="K50" s="46"/>
      <c r="L50" s="26"/>
    </row>
    <row r="51" spans="1:12" ht="15.4" x14ac:dyDescent="0.45">
      <c r="A51" s="41"/>
      <c r="B51" s="41"/>
      <c r="C51" s="41"/>
      <c r="D51" s="41"/>
      <c r="E51" s="41"/>
      <c r="F51" s="41"/>
      <c r="G51" s="41"/>
      <c r="H51" s="28"/>
      <c r="I51" s="28"/>
      <c r="J51" s="28"/>
      <c r="K51" s="28"/>
      <c r="L51" s="26"/>
    </row>
    <row r="52" spans="1:12" ht="15.4" x14ac:dyDescent="0.45">
      <c r="A52" s="41"/>
      <c r="B52" s="41"/>
      <c r="C52" s="41"/>
      <c r="D52" s="41"/>
      <c r="E52" s="41"/>
      <c r="F52" s="41"/>
      <c r="G52" s="41"/>
      <c r="H52" s="28"/>
      <c r="I52" s="28"/>
      <c r="J52" s="28"/>
      <c r="K52" s="28"/>
      <c r="L52" s="26"/>
    </row>
    <row r="53" spans="1:12" ht="15.4" x14ac:dyDescent="0.45">
      <c r="A53" s="41"/>
      <c r="B53" s="41"/>
      <c r="C53" s="41"/>
      <c r="D53" s="41"/>
      <c r="E53" s="41"/>
      <c r="F53" s="41"/>
      <c r="G53" s="41"/>
      <c r="H53" s="44"/>
      <c r="I53" s="44"/>
      <c r="J53" s="44"/>
      <c r="K53" s="44"/>
      <c r="L53" s="45"/>
    </row>
    <row r="54" spans="1:12" ht="15.75" thickBot="1" x14ac:dyDescent="0.5">
      <c r="A54" s="28"/>
      <c r="B54" s="28"/>
      <c r="C54" s="28"/>
      <c r="D54" s="28"/>
      <c r="E54" s="28"/>
      <c r="F54" s="28"/>
      <c r="G54" s="28"/>
      <c r="H54" s="28"/>
      <c r="I54" s="28"/>
      <c r="J54" s="35"/>
      <c r="K54" s="35"/>
      <c r="L54" s="26"/>
    </row>
    <row r="55" spans="1:12" ht="16.5" customHeight="1" thickBot="1" x14ac:dyDescent="0.5">
      <c r="A55" s="151" t="s">
        <v>59</v>
      </c>
      <c r="B55" s="152"/>
      <c r="C55" s="152"/>
      <c r="D55" s="152"/>
      <c r="E55" s="152"/>
      <c r="F55" s="152"/>
      <c r="G55" s="145" t="s">
        <v>60</v>
      </c>
      <c r="H55" s="146"/>
      <c r="I55" s="146"/>
      <c r="J55" s="146"/>
      <c r="K55" s="146"/>
      <c r="L55" s="147"/>
    </row>
    <row r="56" spans="1:12" ht="15.75" thickBot="1" x14ac:dyDescent="0.5">
      <c r="A56" s="149"/>
      <c r="B56" s="149"/>
      <c r="C56" s="149"/>
      <c r="D56" s="149"/>
      <c r="E56" s="149"/>
      <c r="F56" s="149"/>
      <c r="G56" s="148"/>
      <c r="H56" s="149"/>
      <c r="I56" s="149"/>
      <c r="J56" s="149"/>
      <c r="K56" s="149"/>
      <c r="L56" s="150"/>
    </row>
  </sheetData>
  <sheetProtection algorithmName="SHA-512" hashValue="xekXlhhx82uF+B9HDgwSWeEzDTGWWoa2ID3R5vozoQEOcWNYXcDgxUKUeCLtSbQCxjQKBVDBx05H/Ryji8M+aQ==" saltValue="w8loqBJ2MN8stnDSYai9uA==" spinCount="100000" sheet="1" objects="1" scenarios="1"/>
  <mergeCells count="112">
    <mergeCell ref="F49:I49"/>
    <mergeCell ref="J49:L49"/>
    <mergeCell ref="A55:F55"/>
    <mergeCell ref="G55:L55"/>
    <mergeCell ref="A56:F56"/>
    <mergeCell ref="G56:L56"/>
    <mergeCell ref="F46:I46"/>
    <mergeCell ref="J46:L46"/>
    <mergeCell ref="F47:I47"/>
    <mergeCell ref="J47:L47"/>
    <mergeCell ref="F48:I48"/>
    <mergeCell ref="J48:L48"/>
    <mergeCell ref="A41:C41"/>
    <mergeCell ref="D41:F41"/>
    <mergeCell ref="G41:H41"/>
    <mergeCell ref="I41:J41"/>
    <mergeCell ref="K41:L41"/>
    <mergeCell ref="A44:L44"/>
    <mergeCell ref="A39:C39"/>
    <mergeCell ref="D39:F39"/>
    <mergeCell ref="G39:H39"/>
    <mergeCell ref="I39:J39"/>
    <mergeCell ref="K39:L39"/>
    <mergeCell ref="A40:C40"/>
    <mergeCell ref="D40:F40"/>
    <mergeCell ref="G40:H40"/>
    <mergeCell ref="I40:J40"/>
    <mergeCell ref="K40:L40"/>
    <mergeCell ref="B35:C35"/>
    <mergeCell ref="D35:F35"/>
    <mergeCell ref="G35:H35"/>
    <mergeCell ref="J35:K35"/>
    <mergeCell ref="A37:L37"/>
    <mergeCell ref="A38:C38"/>
    <mergeCell ref="D38:F38"/>
    <mergeCell ref="G38:H38"/>
    <mergeCell ref="I38:J38"/>
    <mergeCell ref="K38:L38"/>
    <mergeCell ref="B34:C34"/>
    <mergeCell ref="D34:F34"/>
    <mergeCell ref="G34:H34"/>
    <mergeCell ref="J34:K34"/>
    <mergeCell ref="B32:C32"/>
    <mergeCell ref="D32:F32"/>
    <mergeCell ref="G32:H32"/>
    <mergeCell ref="J32:K32"/>
    <mergeCell ref="B33:C33"/>
    <mergeCell ref="D33:F33"/>
    <mergeCell ref="G33:H33"/>
    <mergeCell ref="J33:K33"/>
    <mergeCell ref="B30:C30"/>
    <mergeCell ref="D30:F30"/>
    <mergeCell ref="G30:H30"/>
    <mergeCell ref="J30:K30"/>
    <mergeCell ref="B31:C31"/>
    <mergeCell ref="D31:F31"/>
    <mergeCell ref="G31:H31"/>
    <mergeCell ref="J31:K31"/>
    <mergeCell ref="B28:C28"/>
    <mergeCell ref="D28:F28"/>
    <mergeCell ref="G28:H28"/>
    <mergeCell ref="J28:K28"/>
    <mergeCell ref="B29:C29"/>
    <mergeCell ref="D29:F29"/>
    <mergeCell ref="G29:H29"/>
    <mergeCell ref="J29:K29"/>
    <mergeCell ref="B26:C26"/>
    <mergeCell ref="D26:F26"/>
    <mergeCell ref="G26:H26"/>
    <mergeCell ref="J26:K26"/>
    <mergeCell ref="B27:C27"/>
    <mergeCell ref="D27:F27"/>
    <mergeCell ref="G27:H27"/>
    <mergeCell ref="J27:K27"/>
    <mergeCell ref="B24:C24"/>
    <mergeCell ref="D24:F24"/>
    <mergeCell ref="G24:H24"/>
    <mergeCell ref="J24:K24"/>
    <mergeCell ref="B25:C25"/>
    <mergeCell ref="D25:F25"/>
    <mergeCell ref="G25:H25"/>
    <mergeCell ref="J25:K25"/>
    <mergeCell ref="B23:C23"/>
    <mergeCell ref="D23:F23"/>
    <mergeCell ref="G23:H23"/>
    <mergeCell ref="J23:K23"/>
    <mergeCell ref="G18:I18"/>
    <mergeCell ref="J18:L18"/>
    <mergeCell ref="G19:I19"/>
    <mergeCell ref="J19:L19"/>
    <mergeCell ref="G20:I20"/>
    <mergeCell ref="J20:L20"/>
    <mergeCell ref="G17:I17"/>
    <mergeCell ref="J17:L17"/>
    <mergeCell ref="G12:I12"/>
    <mergeCell ref="J12:L12"/>
    <mergeCell ref="G13:I13"/>
    <mergeCell ref="J13:L13"/>
    <mergeCell ref="G14:I14"/>
    <mergeCell ref="J14:L14"/>
    <mergeCell ref="G21:I21"/>
    <mergeCell ref="J21:L21"/>
    <mergeCell ref="A7:L7"/>
    <mergeCell ref="A8:L8"/>
    <mergeCell ref="G10:I10"/>
    <mergeCell ref="J10:L10"/>
    <mergeCell ref="G11:I11"/>
    <mergeCell ref="J11:L11"/>
    <mergeCell ref="G15:I15"/>
    <mergeCell ref="J15:L15"/>
    <mergeCell ref="G16:I16"/>
    <mergeCell ref="J16:L16"/>
  </mergeCells>
  <pageMargins left="0.7" right="0.7" top="0.75" bottom="0.75" header="0.3" footer="0.3"/>
  <pageSetup paperSize="9" scale="65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9088-A69F-4D65-872B-C792306FFA76}">
  <sheetPr codeName="Лист8">
    <pageSetUpPr fitToPage="1"/>
  </sheetPr>
  <dimension ref="A1:L56"/>
  <sheetViews>
    <sheetView zoomScaleNormal="100" workbookViewId="0">
      <selection activeCell="A8" sqref="A8:L8"/>
    </sheetView>
  </sheetViews>
  <sheetFormatPr defaultRowHeight="14.25" x14ac:dyDescent="0.45"/>
  <sheetData>
    <row r="1" spans="1:12" ht="15.4" x14ac:dyDescent="0.45">
      <c r="A1" s="26"/>
      <c r="B1" s="26"/>
      <c r="C1" s="26"/>
      <c r="D1" s="26"/>
      <c r="E1" s="26"/>
      <c r="F1" s="26"/>
      <c r="G1" s="26"/>
      <c r="H1" s="26"/>
      <c r="I1" s="26"/>
      <c r="J1" s="27"/>
      <c r="K1" s="27"/>
      <c r="L1" s="26"/>
    </row>
    <row r="2" spans="1:12" ht="15.4" x14ac:dyDescent="0.45">
      <c r="A2" s="26"/>
      <c r="B2" s="26"/>
      <c r="C2" s="26"/>
      <c r="D2" s="26"/>
      <c r="E2" s="26"/>
      <c r="F2" s="26"/>
      <c r="G2" s="26"/>
      <c r="H2" s="26"/>
      <c r="I2" s="26"/>
      <c r="J2" s="27"/>
      <c r="K2" s="27"/>
      <c r="L2" s="26"/>
    </row>
    <row r="3" spans="1:12" ht="15.4" x14ac:dyDescent="0.45">
      <c r="A3" s="26"/>
      <c r="B3" s="26"/>
      <c r="C3" s="26"/>
      <c r="D3" s="26"/>
      <c r="E3" s="26"/>
      <c r="F3" s="26"/>
      <c r="G3" s="26"/>
      <c r="H3" s="26"/>
      <c r="I3" s="26"/>
      <c r="J3" s="27"/>
      <c r="K3" s="27"/>
      <c r="L3" s="26"/>
    </row>
    <row r="4" spans="1:12" ht="15.4" x14ac:dyDescent="0.45">
      <c r="A4" s="26"/>
      <c r="B4" s="26"/>
      <c r="C4" s="26"/>
      <c r="D4" s="26"/>
      <c r="E4" s="26"/>
      <c r="F4" s="26"/>
      <c r="G4" s="26"/>
      <c r="H4" s="26"/>
      <c r="I4" s="26"/>
      <c r="J4" s="27"/>
      <c r="K4" s="27"/>
      <c r="L4" s="26"/>
    </row>
    <row r="5" spans="1:12" ht="15.4" x14ac:dyDescent="0.45">
      <c r="A5" s="26"/>
      <c r="B5" s="26"/>
      <c r="C5" s="26"/>
      <c r="D5" s="26"/>
      <c r="E5" s="26"/>
      <c r="F5" s="26"/>
      <c r="G5" s="26"/>
      <c r="H5" s="26"/>
      <c r="I5" s="26"/>
      <c r="J5" s="27"/>
      <c r="K5" s="27"/>
      <c r="L5" s="26"/>
    </row>
    <row r="6" spans="1:12" ht="15.4" x14ac:dyDescent="0.45">
      <c r="A6" s="26"/>
      <c r="B6" s="26"/>
      <c r="C6" s="26"/>
      <c r="D6" s="26"/>
      <c r="E6" s="26"/>
      <c r="F6" s="26"/>
      <c r="G6" s="26"/>
      <c r="H6" s="26"/>
      <c r="I6" s="26"/>
      <c r="J6" s="27"/>
      <c r="K6" s="27"/>
      <c r="L6" s="26"/>
    </row>
    <row r="7" spans="1:12" ht="19.899999999999999" x14ac:dyDescent="0.5">
      <c r="A7" s="123" t="str">
        <f ca="1">"Спецификация арт. " &amp; 'Лист заказа Moonlight'!$K$20</f>
        <v xml:space="preserve">Спецификация арт. </v>
      </c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</row>
    <row r="8" spans="1:12" ht="17.25" x14ac:dyDescent="0.45">
      <c r="A8" s="184"/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</row>
    <row r="9" spans="1:12" ht="15.75" thickBot="1" x14ac:dyDescent="0.5">
      <c r="A9" s="26"/>
      <c r="B9" s="26"/>
      <c r="C9" s="26"/>
      <c r="D9" s="26"/>
      <c r="E9" s="26"/>
      <c r="F9" s="26"/>
      <c r="G9" s="26"/>
      <c r="H9" s="26"/>
      <c r="I9" s="26"/>
      <c r="J9" s="27"/>
      <c r="K9" s="27"/>
      <c r="L9" s="26"/>
    </row>
    <row r="10" spans="1:12" ht="15.75" thickBot="1" x14ac:dyDescent="0.5">
      <c r="A10" s="26"/>
      <c r="B10" s="26"/>
      <c r="C10" s="26"/>
      <c r="D10" s="26"/>
      <c r="E10" s="26"/>
      <c r="F10" s="28"/>
      <c r="G10" s="185" t="s">
        <v>41</v>
      </c>
      <c r="H10" s="186"/>
      <c r="I10" s="187"/>
      <c r="J10" s="204">
        <f>'Лист заказа Moonlight'!$D$8</f>
        <v>0</v>
      </c>
      <c r="K10" s="205"/>
      <c r="L10" s="206"/>
    </row>
    <row r="11" spans="1:12" ht="15.75" thickBot="1" x14ac:dyDescent="0.5">
      <c r="A11" s="26"/>
      <c r="B11" s="26"/>
      <c r="C11" s="26"/>
      <c r="D11" s="26"/>
      <c r="E11" s="26"/>
      <c r="F11" s="28"/>
      <c r="G11" s="185" t="s">
        <v>54</v>
      </c>
      <c r="H11" s="186"/>
      <c r="I11" s="187"/>
      <c r="J11" s="191">
        <v>5</v>
      </c>
      <c r="K11" s="189"/>
      <c r="L11" s="190"/>
    </row>
    <row r="12" spans="1:12" ht="15.75" thickBot="1" x14ac:dyDescent="0.5">
      <c r="A12" s="26"/>
      <c r="B12" s="26"/>
      <c r="C12" s="26"/>
      <c r="D12" s="26"/>
      <c r="E12" s="26"/>
      <c r="F12" s="28"/>
      <c r="G12" s="185" t="s">
        <v>0</v>
      </c>
      <c r="H12" s="186"/>
      <c r="I12" s="187"/>
      <c r="J12" s="191">
        <f>'Лист заказа Moonlight'!$B$20</f>
        <v>0</v>
      </c>
      <c r="K12" s="189"/>
      <c r="L12" s="190"/>
    </row>
    <row r="13" spans="1:12" ht="15.75" thickBot="1" x14ac:dyDescent="0.5">
      <c r="A13" s="26"/>
      <c r="B13" s="26"/>
      <c r="C13" s="26"/>
      <c r="D13" s="26"/>
      <c r="E13" s="26"/>
      <c r="F13" s="28"/>
      <c r="G13" s="192" t="s">
        <v>1</v>
      </c>
      <c r="H13" s="193"/>
      <c r="I13" s="194"/>
      <c r="J13" s="191">
        <f>'Лист заказа Moonlight'!$C$20</f>
        <v>0</v>
      </c>
      <c r="K13" s="189"/>
      <c r="L13" s="190"/>
    </row>
    <row r="14" spans="1:12" ht="15.75" thickBot="1" x14ac:dyDescent="0.5">
      <c r="A14" s="26"/>
      <c r="B14" s="26"/>
      <c r="C14" s="26"/>
      <c r="D14" s="26"/>
      <c r="E14" s="26"/>
      <c r="F14" s="28"/>
      <c r="G14" s="185" t="s">
        <v>2</v>
      </c>
      <c r="H14" s="186"/>
      <c r="I14" s="187"/>
      <c r="J14" s="191">
        <f>'Лист заказа Moonlight'!$D$20</f>
        <v>0</v>
      </c>
      <c r="K14" s="189"/>
      <c r="L14" s="190"/>
    </row>
    <row r="15" spans="1:12" ht="15.75" thickBot="1" x14ac:dyDescent="0.5">
      <c r="A15" s="26"/>
      <c r="B15" s="26"/>
      <c r="C15" s="32"/>
      <c r="D15" s="26"/>
      <c r="E15" s="26"/>
      <c r="F15" s="28"/>
      <c r="G15" s="185" t="s">
        <v>3</v>
      </c>
      <c r="H15" s="186"/>
      <c r="I15" s="187"/>
      <c r="J15" s="191">
        <f>'Лист заказа Moonlight'!$E$20</f>
        <v>0</v>
      </c>
      <c r="K15" s="189"/>
      <c r="L15" s="190"/>
    </row>
    <row r="16" spans="1:12" ht="15.75" thickBot="1" x14ac:dyDescent="0.5">
      <c r="A16" s="26"/>
      <c r="B16" s="26"/>
      <c r="C16" s="26"/>
      <c r="D16" s="26"/>
      <c r="E16" s="26"/>
      <c r="F16" s="28"/>
      <c r="G16" s="195" t="s">
        <v>4</v>
      </c>
      <c r="H16" s="196"/>
      <c r="I16" s="197"/>
      <c r="J16" s="191">
        <f>'Лист заказа Moonlight'!$F$20</f>
        <v>0</v>
      </c>
      <c r="K16" s="189"/>
      <c r="L16" s="190"/>
    </row>
    <row r="17" spans="1:12" ht="15.75" thickBot="1" x14ac:dyDescent="0.5">
      <c r="A17" s="26"/>
      <c r="B17" s="26"/>
      <c r="C17" s="26"/>
      <c r="D17" s="26"/>
      <c r="E17" s="26"/>
      <c r="F17" s="28"/>
      <c r="G17" s="185" t="s">
        <v>34</v>
      </c>
      <c r="H17" s="186"/>
      <c r="I17" s="187"/>
      <c r="J17" s="191">
        <f>'Лист заказа Moonlight'!$G$20</f>
        <v>0</v>
      </c>
      <c r="K17" s="189"/>
      <c r="L17" s="190"/>
    </row>
    <row r="18" spans="1:12" ht="16.5" customHeight="1" thickBot="1" x14ac:dyDescent="0.5">
      <c r="A18" s="33"/>
      <c r="B18" s="33"/>
      <c r="C18" s="33"/>
      <c r="D18" s="33"/>
      <c r="E18" s="33"/>
      <c r="F18" s="28"/>
      <c r="G18" s="200" t="s">
        <v>49</v>
      </c>
      <c r="H18" s="201"/>
      <c r="I18" s="202"/>
      <c r="J18" s="191" t="str">
        <f>IF('Лист заказа Moonlight'!$H$20=0,"",'Лист заказа Moonlight'!$H$20)</f>
        <v/>
      </c>
      <c r="K18" s="189"/>
      <c r="L18" s="190"/>
    </row>
    <row r="19" spans="1:12" ht="15.75" thickBot="1" x14ac:dyDescent="0.5">
      <c r="A19" s="26"/>
      <c r="B19" s="26"/>
      <c r="C19" s="26"/>
      <c r="D19" s="26"/>
      <c r="E19" s="26"/>
      <c r="F19" s="28"/>
      <c r="G19" s="192" t="s">
        <v>92</v>
      </c>
      <c r="H19" s="193"/>
      <c r="I19" s="194"/>
      <c r="J19" s="191" t="str">
        <f>IF('Лист заказа Moonlight'!$I$20=0,"",'Лист заказа Moonlight'!$I$20-11)</f>
        <v/>
      </c>
      <c r="K19" s="189"/>
      <c r="L19" s="190"/>
    </row>
    <row r="20" spans="1:12" ht="15.75" thickBot="1" x14ac:dyDescent="0.5">
      <c r="A20" s="26"/>
      <c r="B20" s="26"/>
      <c r="C20" s="26"/>
      <c r="D20" s="26"/>
      <c r="E20" s="26"/>
      <c r="F20" s="28"/>
      <c r="G20" s="185" t="s">
        <v>89</v>
      </c>
      <c r="H20" s="186"/>
      <c r="I20" s="187"/>
      <c r="J20" s="191" t="str">
        <f>IF('Лист заказа Moonlight'!$J$20=0,"",'Лист заказа Moonlight'!$J$20)</f>
        <v/>
      </c>
      <c r="K20" s="189"/>
      <c r="L20" s="190"/>
    </row>
    <row r="21" spans="1:12" ht="16.5" customHeight="1" thickBot="1" x14ac:dyDescent="0.5">
      <c r="A21" s="26"/>
      <c r="B21" s="26"/>
      <c r="C21" s="26"/>
      <c r="D21" s="26"/>
      <c r="E21" s="26"/>
      <c r="F21" s="28"/>
      <c r="G21" s="185" t="s">
        <v>52</v>
      </c>
      <c r="H21" s="186"/>
      <c r="I21" s="187"/>
      <c r="J21" s="203">
        <f>'Лист заказа Moonlight'!$N$20</f>
        <v>0</v>
      </c>
      <c r="K21" s="189"/>
      <c r="L21" s="190"/>
    </row>
    <row r="22" spans="1:12" ht="15.75" thickBot="1" x14ac:dyDescent="0.5">
      <c r="A22" s="26"/>
      <c r="B22" s="26"/>
      <c r="C22" s="26"/>
      <c r="D22" s="26"/>
      <c r="E22" s="26"/>
      <c r="F22" s="26"/>
      <c r="G22" s="26"/>
      <c r="H22" s="26"/>
      <c r="I22" s="26"/>
      <c r="J22" s="27"/>
      <c r="K22" s="27"/>
      <c r="L22" s="26"/>
    </row>
    <row r="23" spans="1:12" ht="15.75" thickBot="1" x14ac:dyDescent="0.5">
      <c r="A23" s="52" t="s">
        <v>65</v>
      </c>
      <c r="B23" s="151" t="s">
        <v>5</v>
      </c>
      <c r="C23" s="183"/>
      <c r="D23" s="151" t="s">
        <v>6</v>
      </c>
      <c r="E23" s="152"/>
      <c r="F23" s="183"/>
      <c r="G23" s="151" t="s">
        <v>7</v>
      </c>
      <c r="H23" s="183"/>
      <c r="I23" s="52" t="s">
        <v>8</v>
      </c>
      <c r="J23" s="145" t="s">
        <v>9</v>
      </c>
      <c r="K23" s="147"/>
      <c r="L23" s="53" t="s">
        <v>55</v>
      </c>
    </row>
    <row r="24" spans="1:12" ht="15.4" x14ac:dyDescent="0.45">
      <c r="A24" s="37">
        <v>1</v>
      </c>
      <c r="B24" s="159" t="e" cm="1">
        <f t="array" aca="1" ref="B24" ca="1">"131.741.3760."&amp;OFFSET('Таблица с данными'!$B$2,MATCH($J$14,'Таблица с данными'!$B$3:$B$6,0),1,COUNTIFS('Таблица с данными'!$B$3:$B$6,$J$14),1)</f>
        <v>#N/A</v>
      </c>
      <c r="C24" s="161"/>
      <c r="D24" s="162" t="s">
        <v>11</v>
      </c>
      <c r="E24" s="163"/>
      <c r="F24" s="164"/>
      <c r="G24" s="159">
        <f>$J$14</f>
        <v>0</v>
      </c>
      <c r="H24" s="161"/>
      <c r="I24" s="55">
        <f>1*$J$21</f>
        <v>0</v>
      </c>
      <c r="J24" s="198">
        <f>$J$12-3</f>
        <v>-3</v>
      </c>
      <c r="K24" s="199"/>
      <c r="L24" s="38"/>
    </row>
    <row r="25" spans="1:12" ht="15.4" x14ac:dyDescent="0.45">
      <c r="A25" s="36">
        <v>2</v>
      </c>
      <c r="B25" s="165" t="e" cm="1">
        <f t="array" aca="1" ref="B25" ca="1">"131.740.3760."&amp;OFFSET('Таблица с данными'!$B$2,MATCH($J$14,'Таблица с данными'!$B$3:$B$6,0),1,COUNTIFS('Таблица с данными'!$B$3:$B$6,$J$14),1)</f>
        <v>#N/A</v>
      </c>
      <c r="C25" s="167"/>
      <c r="D25" s="168" t="s">
        <v>37</v>
      </c>
      <c r="E25" s="169"/>
      <c r="F25" s="170"/>
      <c r="G25" s="165">
        <f>$J$14</f>
        <v>0</v>
      </c>
      <c r="H25" s="167"/>
      <c r="I25" s="55">
        <f t="shared" ref="I25:I27" si="0">1*$J$21</f>
        <v>0</v>
      </c>
      <c r="J25" s="180">
        <f>$J$13-11</f>
        <v>-11</v>
      </c>
      <c r="K25" s="181"/>
      <c r="L25" s="39"/>
    </row>
    <row r="26" spans="1:12" ht="15.4" x14ac:dyDescent="0.45">
      <c r="A26" s="36">
        <v>3</v>
      </c>
      <c r="B26" s="165" t="e" cm="1">
        <f t="array" aca="1" ref="B26" ca="1">"131.740.3760."&amp;OFFSET('Таблица с данными'!$B$2,MATCH($J$14,'Таблица с данными'!$B$3:$B$6,0),1,COUNTIFS('Таблица с данными'!$B$3:$B$6,$J$14),1)</f>
        <v>#N/A</v>
      </c>
      <c r="C26" s="167"/>
      <c r="D26" s="168" t="s">
        <v>38</v>
      </c>
      <c r="E26" s="169"/>
      <c r="F26" s="170"/>
      <c r="G26" s="165">
        <f>$J$14</f>
        <v>0</v>
      </c>
      <c r="H26" s="167"/>
      <c r="I26" s="55">
        <f t="shared" si="0"/>
        <v>0</v>
      </c>
      <c r="J26" s="180">
        <f>$J$13-11</f>
        <v>-11</v>
      </c>
      <c r="K26" s="181"/>
      <c r="L26" s="39"/>
    </row>
    <row r="27" spans="1:12" ht="15.4" x14ac:dyDescent="0.45">
      <c r="A27" s="36">
        <v>4</v>
      </c>
      <c r="B27" s="165" t="e" cm="1">
        <f t="array" aca="1" ref="B27" ca="1">"131.740.3760."&amp;OFFSET('Таблица с данными'!$B$2,MATCH($J$14,'Таблица с данными'!$B$3:$B$6,0),1,COUNTIFS('Таблица с данными'!$B$3:$B$6,$J$14),1)</f>
        <v>#N/A</v>
      </c>
      <c r="C27" s="167"/>
      <c r="D27" s="168" t="s">
        <v>12</v>
      </c>
      <c r="E27" s="169"/>
      <c r="F27" s="170"/>
      <c r="G27" s="165">
        <f>$J$14</f>
        <v>0</v>
      </c>
      <c r="H27" s="167"/>
      <c r="I27" s="55">
        <f t="shared" si="0"/>
        <v>0</v>
      </c>
      <c r="J27" s="180">
        <f>$J$12-24.4</f>
        <v>-24.4</v>
      </c>
      <c r="K27" s="181"/>
      <c r="L27" s="39"/>
    </row>
    <row r="28" spans="1:12" ht="15.4" x14ac:dyDescent="0.45">
      <c r="A28" s="36">
        <v>5</v>
      </c>
      <c r="B28" s="165" t="e" cm="1">
        <f t="array" aca="1" ref="B28" ca="1">"00-00002568"&amp;OFFSET('Таблица с данными'!$B$2,MATCH($J$14,'Таблица с данными'!$B$3:$B$6,0),1,COUNTIFS('Таблица с данными'!$B$3:$B$6,$J$14),1)</f>
        <v>#N/A</v>
      </c>
      <c r="C28" s="167"/>
      <c r="D28" s="168" t="s">
        <v>15</v>
      </c>
      <c r="E28" s="169"/>
      <c r="F28" s="170"/>
      <c r="G28" s="165">
        <f t="shared" ref="G28" si="1">$J$14</f>
        <v>0</v>
      </c>
      <c r="H28" s="167"/>
      <c r="I28" s="55">
        <f>1*$J$21</f>
        <v>0</v>
      </c>
      <c r="J28" s="180"/>
      <c r="K28" s="181"/>
      <c r="L28" s="39"/>
    </row>
    <row r="29" spans="1:12" ht="15.4" x14ac:dyDescent="0.45">
      <c r="A29" s="36">
        <v>6</v>
      </c>
      <c r="B29" s="165" t="e" cm="1">
        <f t="array" aca="1" ref="B29" ca="1">"SOM0"&amp;OFFSET('Таблица с данными'!$B$9,MATCH($J$15,'Таблица с данными'!$B$10:$B$11,0),1,COUNTIFS('Таблица с данными'!$B$10:$B$11,$J$15),1)&amp;"7-3700"</f>
        <v>#N/A</v>
      </c>
      <c r="C29" s="167"/>
      <c r="D29" s="168" t="s">
        <v>13</v>
      </c>
      <c r="E29" s="169"/>
      <c r="F29" s="170"/>
      <c r="G29" s="165">
        <f>$J$15</f>
        <v>0</v>
      </c>
      <c r="H29" s="167"/>
      <c r="I29" s="55">
        <f t="shared" ref="I29:I34" si="2">1*$J$21</f>
        <v>0</v>
      </c>
      <c r="J29" s="180">
        <f>$J$12-24.4</f>
        <v>-24.4</v>
      </c>
      <c r="K29" s="181"/>
      <c r="L29" s="39"/>
    </row>
    <row r="30" spans="1:12" ht="15.4" x14ac:dyDescent="0.45">
      <c r="A30" s="36">
        <v>7</v>
      </c>
      <c r="B30" s="165" t="e" cm="1">
        <f t="array" aca="1" ref="B30" ca="1">"305110"&amp;OFFSET('Таблица с данными'!$B$14,MATCH($J$16,'Таблица с данными'!$B$15:$B$16,0),1,COUNTIFS('Таблица с данными'!$B$15:$B$16,$J$16),1)&amp;"W-"&amp;OFFSET('Таблица с данными'!$B$18,MATCH($J$30,'Таблица с данными'!$B$19:$B$22,-1),0,1,1)</f>
        <v>#N/A</v>
      </c>
      <c r="C30" s="167"/>
      <c r="D30" s="168" t="s">
        <v>14</v>
      </c>
      <c r="E30" s="169"/>
      <c r="F30" s="170"/>
      <c r="G30" s="178">
        <f>$J$16</f>
        <v>0</v>
      </c>
      <c r="H30" s="179"/>
      <c r="I30" s="55">
        <f t="shared" si="2"/>
        <v>0</v>
      </c>
      <c r="J30" s="180">
        <f>INT(($J$12-53)/25)*25</f>
        <v>-75</v>
      </c>
      <c r="K30" s="181"/>
      <c r="L30" s="39"/>
    </row>
    <row r="31" spans="1:12" ht="15.75" customHeight="1" x14ac:dyDescent="0.45">
      <c r="A31" s="36">
        <v>8</v>
      </c>
      <c r="B31" s="165" t="str">
        <f>"09820"</f>
        <v>09820</v>
      </c>
      <c r="C31" s="167"/>
      <c r="D31" s="175" t="s">
        <v>17</v>
      </c>
      <c r="E31" s="176"/>
      <c r="F31" s="177"/>
      <c r="G31" s="168" t="str">
        <f>"-"</f>
        <v>-</v>
      </c>
      <c r="H31" s="170"/>
      <c r="I31" s="55">
        <f>4*$J$21</f>
        <v>0</v>
      </c>
      <c r="J31" s="180"/>
      <c r="K31" s="181"/>
      <c r="L31" s="39"/>
    </row>
    <row r="32" spans="1:12" ht="15.75" customHeight="1" x14ac:dyDescent="0.45">
      <c r="A32" s="36">
        <v>9</v>
      </c>
      <c r="B32" s="165" t="str">
        <f>"09821"</f>
        <v>09821</v>
      </c>
      <c r="C32" s="167"/>
      <c r="D32" s="175" t="s">
        <v>18</v>
      </c>
      <c r="E32" s="176"/>
      <c r="F32" s="177"/>
      <c r="G32" s="168" t="str">
        <f>"-"</f>
        <v>-</v>
      </c>
      <c r="H32" s="170"/>
      <c r="I32" s="55">
        <f>4*$J$21</f>
        <v>0</v>
      </c>
      <c r="J32" s="180"/>
      <c r="K32" s="181"/>
      <c r="L32" s="39"/>
    </row>
    <row r="33" spans="1:12" ht="15.75" customHeight="1" x14ac:dyDescent="0.45">
      <c r="A33" s="36">
        <v>10</v>
      </c>
      <c r="B33" s="165">
        <v>88200</v>
      </c>
      <c r="C33" s="167"/>
      <c r="D33" s="175" t="s">
        <v>16</v>
      </c>
      <c r="E33" s="176"/>
      <c r="F33" s="177"/>
      <c r="G33" s="168" t="str">
        <f>"-"</f>
        <v>-</v>
      </c>
      <c r="H33" s="170"/>
      <c r="I33" s="55">
        <f>4*$J$21</f>
        <v>0</v>
      </c>
      <c r="J33" s="180"/>
      <c r="K33" s="181"/>
      <c r="L33" s="39"/>
    </row>
    <row r="34" spans="1:12" ht="15.4" x14ac:dyDescent="0.45">
      <c r="A34" s="36">
        <v>11</v>
      </c>
      <c r="B34" s="165">
        <v>303041</v>
      </c>
      <c r="C34" s="167"/>
      <c r="D34" s="168" t="s">
        <v>80</v>
      </c>
      <c r="E34" s="169"/>
      <c r="F34" s="170"/>
      <c r="G34" s="168" t="str">
        <f>"-"</f>
        <v>-</v>
      </c>
      <c r="H34" s="170"/>
      <c r="I34" s="55">
        <f t="shared" si="2"/>
        <v>0</v>
      </c>
      <c r="J34" s="180">
        <v>2000</v>
      </c>
      <c r="K34" s="181"/>
      <c r="L34" s="40"/>
    </row>
    <row r="35" spans="1:12" ht="15.4" x14ac:dyDescent="0.45">
      <c r="A35" s="36">
        <v>12</v>
      </c>
      <c r="B35" s="165" t="e" cm="1">
        <f t="array" aca="1" ref="B35" ca="1">OFFSET('Таблица с данными'!$B$42,MATCH($J$18&amp;$J$14,'Таблица с данными'!$B$43:$B$58&amp;'Таблица с данными'!$C$43:$C$58,0),2,1,1)</f>
        <v>#N/A</v>
      </c>
      <c r="C35" s="167"/>
      <c r="D35" s="165" t="str">
        <f>IF($J$18="Скрытый, врезной", "Комплект скрытых пд",IF($J$18=0,"Полкодержатели",IF($J$18="Нет","Полкодержатели",$J$18)))</f>
        <v/>
      </c>
      <c r="E35" s="166"/>
      <c r="F35" s="167"/>
      <c r="G35" s="165">
        <f>IF(D35="Полкодержатели","-",IF(D35="Граната, врезной","-",$J$14))</f>
        <v>0</v>
      </c>
      <c r="H35" s="167"/>
      <c r="I35" s="81" t="e">
        <f ca="1">OFFSET('Таблица с данными'!$B$30,MATCH('Лист заказа Moonlight'!$H$20,'Таблица с данными'!$B$31:$B$34,0),4,1,1)*$J$21</f>
        <v>#N/A</v>
      </c>
      <c r="J35" s="180"/>
      <c r="K35" s="181"/>
      <c r="L35" s="39"/>
    </row>
    <row r="36" spans="1:12" ht="15.4" x14ac:dyDescent="0.45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</row>
    <row r="37" spans="1:12" ht="20.25" thickBot="1" x14ac:dyDescent="0.55000000000000004">
      <c r="A37" s="182" t="s">
        <v>71</v>
      </c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</row>
    <row r="38" spans="1:12" ht="15.75" thickBot="1" x14ac:dyDescent="0.5">
      <c r="A38" s="151" t="s">
        <v>5</v>
      </c>
      <c r="B38" s="152"/>
      <c r="C38" s="183"/>
      <c r="D38" s="151" t="s">
        <v>6</v>
      </c>
      <c r="E38" s="152"/>
      <c r="F38" s="183"/>
      <c r="G38" s="151" t="s">
        <v>7</v>
      </c>
      <c r="H38" s="183"/>
      <c r="I38" s="151" t="s">
        <v>74</v>
      </c>
      <c r="J38" s="183"/>
      <c r="K38" s="145" t="s">
        <v>72</v>
      </c>
      <c r="L38" s="147"/>
    </row>
    <row r="39" spans="1:12" ht="15.75" customHeight="1" x14ac:dyDescent="0.45">
      <c r="A39" s="159" t="str" cm="1">
        <f t="array" aca="1" ref="A39" ca="1">"131.741.3760."&amp;OFFSET('Таблица с данными'!$B$2,MATCH('Лист заказа Moonlight'!$D$16,'Таблица с данными'!$B$3:$B$6,0),1,COUNTIFS('Таблица с данными'!$B$3:$B$6,'Лист заказа Moonlight'!$D$16),1)</f>
        <v>131.741.3760.C</v>
      </c>
      <c r="B39" s="160"/>
      <c r="C39" s="161"/>
      <c r="D39" s="162" t="s">
        <v>11</v>
      </c>
      <c r="E39" s="163"/>
      <c r="F39" s="164"/>
      <c r="G39" s="159">
        <f>$J$14</f>
        <v>0</v>
      </c>
      <c r="H39" s="161"/>
      <c r="I39" s="159">
        <f>$J$24*$I$24</f>
        <v>0</v>
      </c>
      <c r="J39" s="161"/>
      <c r="K39" s="173">
        <f>$I$39/3760</f>
        <v>0</v>
      </c>
      <c r="L39" s="174"/>
    </row>
    <row r="40" spans="1:12" ht="15.75" customHeight="1" x14ac:dyDescent="0.45">
      <c r="A40" s="165" t="str" cm="1">
        <f t="array" aca="1" ref="A40" ca="1">"131.740.3760."&amp;OFFSET('Таблица с данными'!$B$2,MATCH('Лист заказа Moonlight'!$D$16,'Таблица с данными'!$B$3:$B$6,0),1,COUNTIFS('Таблица с данными'!$B$3:$B$6,'Лист заказа Moonlight'!$D$16),1)</f>
        <v>131.740.3760.C</v>
      </c>
      <c r="B40" s="166"/>
      <c r="C40" s="167"/>
      <c r="D40" s="168" t="s">
        <v>73</v>
      </c>
      <c r="E40" s="169"/>
      <c r="F40" s="170"/>
      <c r="G40" s="165">
        <f>$J$14</f>
        <v>0</v>
      </c>
      <c r="H40" s="167"/>
      <c r="I40" s="165">
        <f>$J$25*$I$25+$J$26*$I$26+$J$27*$I$27</f>
        <v>0</v>
      </c>
      <c r="J40" s="167"/>
      <c r="K40" s="171">
        <f>$I$40/3760</f>
        <v>0</v>
      </c>
      <c r="L40" s="172"/>
    </row>
    <row r="41" spans="1:12" ht="15.75" customHeight="1" x14ac:dyDescent="0.45">
      <c r="A41" s="165" t="str" cm="1">
        <f t="array" aca="1" ref="A41" ca="1">"SOM0"&amp;OFFSET('Таблица с данными'!$B$9,MATCH('Лист заказа Moonlight'!$E$16,'Таблица с данными'!$B$10:$B$11,0),1,COUNTIFS('Таблица с данными'!$B$10:$B$11,'Лист заказа Moonlight'!$E$16),1)&amp;"7-3700"</f>
        <v>SOM07-3700</v>
      </c>
      <c r="B41" s="166"/>
      <c r="C41" s="167"/>
      <c r="D41" s="168" t="s">
        <v>13</v>
      </c>
      <c r="E41" s="169"/>
      <c r="F41" s="170"/>
      <c r="G41" s="165">
        <f>$J$15</f>
        <v>0</v>
      </c>
      <c r="H41" s="167"/>
      <c r="I41" s="165">
        <f>$J$29*$I$29</f>
        <v>0</v>
      </c>
      <c r="J41" s="167"/>
      <c r="K41" s="171">
        <f>$I$41/3700</f>
        <v>0</v>
      </c>
      <c r="L41" s="172"/>
    </row>
    <row r="42" spans="1:12" ht="15.4" x14ac:dyDescent="0.45">
      <c r="A42" s="28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</row>
    <row r="43" spans="1:12" ht="15.4" x14ac:dyDescent="0.45">
      <c r="A43" s="28"/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</row>
    <row r="44" spans="1:12" ht="19.899999999999999" x14ac:dyDescent="0.5">
      <c r="A44" s="123" t="s">
        <v>66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</row>
    <row r="45" spans="1:12" ht="15.75" thickBot="1" x14ac:dyDescent="0.5">
      <c r="A45" s="41"/>
      <c r="B45" s="41"/>
      <c r="C45" s="41"/>
      <c r="D45" s="41"/>
      <c r="E45" s="41"/>
      <c r="F45" s="41"/>
      <c r="G45" s="41"/>
      <c r="H45" s="41"/>
      <c r="I45" s="41"/>
      <c r="J45" s="42"/>
      <c r="K45" s="42"/>
      <c r="L45" s="26"/>
    </row>
    <row r="46" spans="1:12" ht="15.75" thickBot="1" x14ac:dyDescent="0.5">
      <c r="A46" s="41"/>
      <c r="B46" s="41"/>
      <c r="C46" s="41"/>
      <c r="D46" s="41"/>
      <c r="E46" s="41"/>
      <c r="F46" s="153" t="s">
        <v>64</v>
      </c>
      <c r="G46" s="154"/>
      <c r="H46" s="154"/>
      <c r="I46" s="155"/>
      <c r="J46" s="156">
        <f>$J$25</f>
        <v>-11</v>
      </c>
      <c r="K46" s="156"/>
      <c r="L46" s="157"/>
    </row>
    <row r="47" spans="1:12" ht="15.75" thickBot="1" x14ac:dyDescent="0.5">
      <c r="A47" s="41"/>
      <c r="B47" s="41"/>
      <c r="C47" s="41"/>
      <c r="D47" s="41"/>
      <c r="E47" s="41"/>
      <c r="F47" s="153" t="s">
        <v>50</v>
      </c>
      <c r="G47" s="154"/>
      <c r="H47" s="154"/>
      <c r="I47" s="155"/>
      <c r="J47" s="158" t="str">
        <f>$J$19</f>
        <v/>
      </c>
      <c r="K47" s="156"/>
      <c r="L47" s="157"/>
    </row>
    <row r="48" spans="1:12" ht="15.75" thickBot="1" x14ac:dyDescent="0.5">
      <c r="A48" s="41"/>
      <c r="B48" s="41"/>
      <c r="C48" s="41"/>
      <c r="D48" s="41"/>
      <c r="E48" s="41"/>
      <c r="F48" s="153" t="s">
        <v>51</v>
      </c>
      <c r="G48" s="154"/>
      <c r="H48" s="154"/>
      <c r="I48" s="155"/>
      <c r="J48" s="158" t="str">
        <f>$J$20</f>
        <v/>
      </c>
      <c r="K48" s="156"/>
      <c r="L48" s="157"/>
    </row>
    <row r="49" spans="1:12" ht="15.75" thickBot="1" x14ac:dyDescent="0.5">
      <c r="A49" s="41"/>
      <c r="B49" s="41"/>
      <c r="C49" s="41"/>
      <c r="D49" s="41"/>
      <c r="E49" s="41"/>
      <c r="F49" s="153" t="s">
        <v>52</v>
      </c>
      <c r="G49" s="154"/>
      <c r="H49" s="154"/>
      <c r="I49" s="155"/>
      <c r="J49" s="158" t="str">
        <f>$J$21&amp;"*2"</f>
        <v>0*2</v>
      </c>
      <c r="K49" s="156"/>
      <c r="L49" s="157"/>
    </row>
    <row r="50" spans="1:12" ht="15.4" x14ac:dyDescent="0.45">
      <c r="A50" s="41"/>
      <c r="B50" s="41"/>
      <c r="C50" s="41"/>
      <c r="D50" s="41"/>
      <c r="E50" s="41"/>
      <c r="F50" s="41"/>
      <c r="G50" s="41"/>
      <c r="H50" s="44"/>
      <c r="I50" s="44"/>
      <c r="J50" s="44"/>
      <c r="K50" s="46"/>
      <c r="L50" s="26"/>
    </row>
    <row r="51" spans="1:12" ht="15.4" x14ac:dyDescent="0.45">
      <c r="A51" s="41"/>
      <c r="B51" s="41"/>
      <c r="C51" s="41"/>
      <c r="D51" s="41"/>
      <c r="E51" s="41"/>
      <c r="F51" s="41"/>
      <c r="G51" s="41"/>
      <c r="H51" s="28"/>
      <c r="I51" s="28"/>
      <c r="J51" s="28"/>
      <c r="K51" s="28"/>
      <c r="L51" s="26"/>
    </row>
    <row r="52" spans="1:12" ht="15.4" x14ac:dyDescent="0.45">
      <c r="A52" s="41"/>
      <c r="B52" s="41"/>
      <c r="C52" s="41"/>
      <c r="D52" s="41"/>
      <c r="E52" s="41"/>
      <c r="F52" s="41"/>
      <c r="G52" s="41"/>
      <c r="H52" s="28"/>
      <c r="I52" s="28"/>
      <c r="J52" s="28"/>
      <c r="K52" s="28"/>
      <c r="L52" s="26"/>
    </row>
    <row r="53" spans="1:12" ht="15.4" x14ac:dyDescent="0.45">
      <c r="A53" s="41"/>
      <c r="B53" s="41"/>
      <c r="C53" s="41"/>
      <c r="D53" s="41"/>
      <c r="E53" s="41"/>
      <c r="F53" s="41"/>
      <c r="G53" s="41"/>
      <c r="H53" s="44"/>
      <c r="I53" s="44"/>
      <c r="J53" s="44"/>
      <c r="K53" s="44"/>
      <c r="L53" s="45"/>
    </row>
    <row r="54" spans="1:12" ht="15.75" thickBot="1" x14ac:dyDescent="0.5">
      <c r="A54" s="28"/>
      <c r="B54" s="28"/>
      <c r="C54" s="28"/>
      <c r="D54" s="28"/>
      <c r="E54" s="28"/>
      <c r="F54" s="28"/>
      <c r="G54" s="28"/>
      <c r="H54" s="28"/>
      <c r="I54" s="28"/>
      <c r="J54" s="35"/>
      <c r="K54" s="35"/>
      <c r="L54" s="26"/>
    </row>
    <row r="55" spans="1:12" ht="16.5" customHeight="1" thickBot="1" x14ac:dyDescent="0.5">
      <c r="A55" s="151" t="s">
        <v>59</v>
      </c>
      <c r="B55" s="152"/>
      <c r="C55" s="152"/>
      <c r="D55" s="152"/>
      <c r="E55" s="152"/>
      <c r="F55" s="152"/>
      <c r="G55" s="145" t="s">
        <v>60</v>
      </c>
      <c r="H55" s="146"/>
      <c r="I55" s="146"/>
      <c r="J55" s="146"/>
      <c r="K55" s="146"/>
      <c r="L55" s="147"/>
    </row>
    <row r="56" spans="1:12" ht="15.75" thickBot="1" x14ac:dyDescent="0.5">
      <c r="A56" s="149"/>
      <c r="B56" s="149"/>
      <c r="C56" s="149"/>
      <c r="D56" s="149"/>
      <c r="E56" s="149"/>
      <c r="F56" s="149"/>
      <c r="G56" s="148"/>
      <c r="H56" s="149"/>
      <c r="I56" s="149"/>
      <c r="J56" s="149"/>
      <c r="K56" s="149"/>
      <c r="L56" s="150"/>
    </row>
  </sheetData>
  <sheetProtection algorithmName="SHA-512" hashValue="9tA77Ku4QTzQ7EqQnLgaKjt2EB/jg/dVxqElL76BfvkhmwakJadTmrJutK9rEYxyGJwZbC7f1mxmQHe+CwongQ==" saltValue="JdZ78qJtQt3YEcI5o519eQ==" spinCount="100000" sheet="1" objects="1" scenarios="1"/>
  <mergeCells count="112">
    <mergeCell ref="F49:I49"/>
    <mergeCell ref="J49:L49"/>
    <mergeCell ref="A55:F55"/>
    <mergeCell ref="G55:L55"/>
    <mergeCell ref="A56:F56"/>
    <mergeCell ref="G56:L56"/>
    <mergeCell ref="F46:I46"/>
    <mergeCell ref="J46:L46"/>
    <mergeCell ref="F47:I47"/>
    <mergeCell ref="J47:L47"/>
    <mergeCell ref="F48:I48"/>
    <mergeCell ref="J48:L48"/>
    <mergeCell ref="A41:C41"/>
    <mergeCell ref="D41:F41"/>
    <mergeCell ref="G41:H41"/>
    <mergeCell ref="I41:J41"/>
    <mergeCell ref="K41:L41"/>
    <mergeCell ref="A44:L44"/>
    <mergeCell ref="A39:C39"/>
    <mergeCell ref="D39:F39"/>
    <mergeCell ref="G39:H39"/>
    <mergeCell ref="I39:J39"/>
    <mergeCell ref="K39:L39"/>
    <mergeCell ref="A40:C40"/>
    <mergeCell ref="D40:F40"/>
    <mergeCell ref="G40:H40"/>
    <mergeCell ref="I40:J40"/>
    <mergeCell ref="K40:L40"/>
    <mergeCell ref="B35:C35"/>
    <mergeCell ref="D35:F35"/>
    <mergeCell ref="G35:H35"/>
    <mergeCell ref="J35:K35"/>
    <mergeCell ref="A37:L37"/>
    <mergeCell ref="A38:C38"/>
    <mergeCell ref="D38:F38"/>
    <mergeCell ref="G38:H38"/>
    <mergeCell ref="I38:J38"/>
    <mergeCell ref="K38:L38"/>
    <mergeCell ref="B34:C34"/>
    <mergeCell ref="D34:F34"/>
    <mergeCell ref="G34:H34"/>
    <mergeCell ref="J34:K34"/>
    <mergeCell ref="B32:C32"/>
    <mergeCell ref="D32:F32"/>
    <mergeCell ref="G32:H32"/>
    <mergeCell ref="J32:K32"/>
    <mergeCell ref="B33:C33"/>
    <mergeCell ref="D33:F33"/>
    <mergeCell ref="G33:H33"/>
    <mergeCell ref="J33:K33"/>
    <mergeCell ref="B30:C30"/>
    <mergeCell ref="D30:F30"/>
    <mergeCell ref="G30:H30"/>
    <mergeCell ref="J30:K30"/>
    <mergeCell ref="B31:C31"/>
    <mergeCell ref="D31:F31"/>
    <mergeCell ref="G31:H31"/>
    <mergeCell ref="J31:K31"/>
    <mergeCell ref="B28:C28"/>
    <mergeCell ref="D28:F28"/>
    <mergeCell ref="G28:H28"/>
    <mergeCell ref="J28:K28"/>
    <mergeCell ref="B29:C29"/>
    <mergeCell ref="D29:F29"/>
    <mergeCell ref="G29:H29"/>
    <mergeCell ref="J29:K29"/>
    <mergeCell ref="B26:C26"/>
    <mergeCell ref="D26:F26"/>
    <mergeCell ref="G26:H26"/>
    <mergeCell ref="J26:K26"/>
    <mergeCell ref="B27:C27"/>
    <mergeCell ref="D27:F27"/>
    <mergeCell ref="G27:H27"/>
    <mergeCell ref="J27:K27"/>
    <mergeCell ref="B24:C24"/>
    <mergeCell ref="D24:F24"/>
    <mergeCell ref="G24:H24"/>
    <mergeCell ref="J24:K24"/>
    <mergeCell ref="B25:C25"/>
    <mergeCell ref="D25:F25"/>
    <mergeCell ref="G25:H25"/>
    <mergeCell ref="J25:K25"/>
    <mergeCell ref="B23:C23"/>
    <mergeCell ref="D23:F23"/>
    <mergeCell ref="G23:H23"/>
    <mergeCell ref="J23:K23"/>
    <mergeCell ref="G18:I18"/>
    <mergeCell ref="J18:L18"/>
    <mergeCell ref="G19:I19"/>
    <mergeCell ref="J19:L19"/>
    <mergeCell ref="G20:I20"/>
    <mergeCell ref="J20:L20"/>
    <mergeCell ref="G17:I17"/>
    <mergeCell ref="J17:L17"/>
    <mergeCell ref="G12:I12"/>
    <mergeCell ref="J12:L12"/>
    <mergeCell ref="G13:I13"/>
    <mergeCell ref="J13:L13"/>
    <mergeCell ref="G14:I14"/>
    <mergeCell ref="J14:L14"/>
    <mergeCell ref="G21:I21"/>
    <mergeCell ref="J21:L21"/>
    <mergeCell ref="A7:L7"/>
    <mergeCell ref="A8:L8"/>
    <mergeCell ref="G10:I10"/>
    <mergeCell ref="J10:L10"/>
    <mergeCell ref="G11:I11"/>
    <mergeCell ref="J11:L11"/>
    <mergeCell ref="G15:I15"/>
    <mergeCell ref="J15:L15"/>
    <mergeCell ref="G16:I16"/>
    <mergeCell ref="J16:L16"/>
  </mergeCells>
  <pageMargins left="0.7" right="0.7" top="0.75" bottom="0.75" header="0.3" footer="0.3"/>
  <pageSetup paperSize="9" scale="65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440F9-2E9E-4F63-940D-8448C834004B}">
  <sheetPr codeName="Лист2"/>
  <dimension ref="B1:I58"/>
  <sheetViews>
    <sheetView workbookViewId="0">
      <selection activeCell="H10" sqref="H10:H11"/>
    </sheetView>
  </sheetViews>
  <sheetFormatPr defaultColWidth="9.1328125" defaultRowHeight="15.4" x14ac:dyDescent="0.45"/>
  <cols>
    <col min="1" max="1" width="9.1328125" style="1"/>
    <col min="2" max="2" width="72.73046875" style="6" bestFit="1" customWidth="1"/>
    <col min="3" max="3" width="10.59765625" style="5" bestFit="1" customWidth="1"/>
    <col min="4" max="4" width="14.3984375" style="1" bestFit="1" customWidth="1"/>
    <col min="5" max="5" width="20.86328125" style="1" bestFit="1" customWidth="1"/>
    <col min="6" max="7" width="9.1328125" style="1"/>
    <col min="8" max="8" width="23" style="1" bestFit="1" customWidth="1"/>
    <col min="9" max="10" width="9.1328125" style="1"/>
    <col min="11" max="11" width="28.73046875" style="1" bestFit="1" customWidth="1"/>
    <col min="12" max="12" width="9.1328125" style="1"/>
    <col min="13" max="14" width="16.1328125" style="1" bestFit="1" customWidth="1"/>
    <col min="15" max="16384" width="9.1328125" style="1"/>
  </cols>
  <sheetData>
    <row r="1" spans="2:9" ht="15.75" thickBot="1" x14ac:dyDescent="0.5"/>
    <row r="2" spans="2:9" ht="15.75" thickBot="1" x14ac:dyDescent="0.5">
      <c r="B2" s="7" t="s">
        <v>26</v>
      </c>
      <c r="E2" s="1" t="s">
        <v>77</v>
      </c>
    </row>
    <row r="3" spans="2:9" x14ac:dyDescent="0.45">
      <c r="B3" s="8" t="s">
        <v>109</v>
      </c>
      <c r="C3" s="5" t="s">
        <v>22</v>
      </c>
      <c r="E3" s="1" t="s">
        <v>78</v>
      </c>
      <c r="F3" s="1">
        <v>1.3</v>
      </c>
    </row>
    <row r="4" spans="2:9" x14ac:dyDescent="0.45">
      <c r="B4" s="9" t="s">
        <v>19</v>
      </c>
      <c r="C4" s="5" t="s">
        <v>23</v>
      </c>
    </row>
    <row r="5" spans="2:9" x14ac:dyDescent="0.45">
      <c r="B5" s="9" t="s">
        <v>20</v>
      </c>
      <c r="C5" s="5" t="s">
        <v>25</v>
      </c>
      <c r="E5" s="3"/>
      <c r="F5" s="2"/>
      <c r="H5" s="3"/>
      <c r="I5" s="4"/>
    </row>
    <row r="6" spans="2:9" x14ac:dyDescent="0.45">
      <c r="B6" s="9" t="s">
        <v>21</v>
      </c>
      <c r="C6" s="5" t="s">
        <v>24</v>
      </c>
      <c r="E6" s="3"/>
      <c r="F6" s="2"/>
      <c r="H6" s="3"/>
      <c r="I6" s="4"/>
    </row>
    <row r="8" spans="2:9" ht="15.75" thickBot="1" x14ac:dyDescent="0.5"/>
    <row r="9" spans="2:9" ht="15.75" thickBot="1" x14ac:dyDescent="0.5">
      <c r="B9" s="10" t="s">
        <v>27</v>
      </c>
    </row>
    <row r="10" spans="2:9" x14ac:dyDescent="0.45">
      <c r="B10" s="11" t="s">
        <v>28</v>
      </c>
      <c r="C10" s="75" t="str">
        <f>""</f>
        <v/>
      </c>
    </row>
    <row r="11" spans="2:9" x14ac:dyDescent="0.45">
      <c r="B11" s="12" t="s">
        <v>29</v>
      </c>
      <c r="C11" s="5" t="s">
        <v>69</v>
      </c>
    </row>
    <row r="13" spans="2:9" ht="15.75" thickBot="1" x14ac:dyDescent="0.5"/>
    <row r="14" spans="2:9" ht="15.75" thickBot="1" x14ac:dyDescent="0.5">
      <c r="B14" s="13" t="s">
        <v>4</v>
      </c>
    </row>
    <row r="15" spans="2:9" x14ac:dyDescent="0.45">
      <c r="B15" s="14" t="s">
        <v>30</v>
      </c>
      <c r="C15" s="5" t="s">
        <v>32</v>
      </c>
    </row>
    <row r="16" spans="2:9" x14ac:dyDescent="0.45">
      <c r="B16" s="15" t="s">
        <v>31</v>
      </c>
      <c r="C16" s="5" t="s">
        <v>33</v>
      </c>
    </row>
    <row r="17" spans="2:9" ht="15.75" thickBot="1" x14ac:dyDescent="0.5"/>
    <row r="18" spans="2:9" ht="15.75" thickBot="1" x14ac:dyDescent="0.5">
      <c r="B18" s="16" t="s">
        <v>39</v>
      </c>
    </row>
    <row r="19" spans="2:9" x14ac:dyDescent="0.45">
      <c r="B19" s="17">
        <v>1200</v>
      </c>
    </row>
    <row r="20" spans="2:9" x14ac:dyDescent="0.45">
      <c r="B20" s="18">
        <v>900</v>
      </c>
    </row>
    <row r="21" spans="2:9" x14ac:dyDescent="0.45">
      <c r="B21" s="18">
        <v>600</v>
      </c>
    </row>
    <row r="22" spans="2:9" x14ac:dyDescent="0.45">
      <c r="B22" s="18">
        <v>450</v>
      </c>
    </row>
    <row r="24" spans="2:9" ht="15.75" thickBot="1" x14ac:dyDescent="0.5"/>
    <row r="25" spans="2:9" ht="15.75" thickBot="1" x14ac:dyDescent="0.5">
      <c r="B25" s="19" t="s">
        <v>34</v>
      </c>
    </row>
    <row r="26" spans="2:9" x14ac:dyDescent="0.45">
      <c r="B26" s="20" t="s">
        <v>35</v>
      </c>
      <c r="C26" s="5" t="s">
        <v>68</v>
      </c>
    </row>
    <row r="27" spans="2:9" x14ac:dyDescent="0.45">
      <c r="B27" s="21" t="s">
        <v>36</v>
      </c>
      <c r="C27" s="75" t="str">
        <f>""</f>
        <v/>
      </c>
    </row>
    <row r="29" spans="2:9" ht="15.75" thickBot="1" x14ac:dyDescent="0.5"/>
    <row r="30" spans="2:9" ht="15.75" thickBot="1" x14ac:dyDescent="0.5">
      <c r="B30" s="13" t="s">
        <v>49</v>
      </c>
    </row>
    <row r="31" spans="2:9" x14ac:dyDescent="0.45">
      <c r="B31" s="14" t="s">
        <v>56</v>
      </c>
      <c r="C31" s="22" t="str">
        <f>"-"</f>
        <v>-</v>
      </c>
      <c r="D31" s="22" t="str">
        <f>"-"</f>
        <v>-</v>
      </c>
      <c r="E31" s="113"/>
      <c r="F31" s="1">
        <v>0</v>
      </c>
      <c r="G31" s="1" t="str">
        <f>""</f>
        <v/>
      </c>
    </row>
    <row r="32" spans="2:9" x14ac:dyDescent="0.45">
      <c r="B32" s="14" t="s">
        <v>96</v>
      </c>
      <c r="C32" s="22" t="str">
        <f>"-"</f>
        <v>-</v>
      </c>
      <c r="D32" s="22" t="str">
        <f t="shared" ref="D32:D34" si="0">"-"</f>
        <v>-</v>
      </c>
      <c r="E32" s="2"/>
      <c r="F32" s="1">
        <v>1</v>
      </c>
      <c r="G32" s="1" t="s">
        <v>98</v>
      </c>
      <c r="H32" s="1">
        <v>180</v>
      </c>
      <c r="I32" s="1">
        <v>0</v>
      </c>
    </row>
    <row r="33" spans="2:9" x14ac:dyDescent="0.45">
      <c r="B33" s="14" t="s">
        <v>97</v>
      </c>
      <c r="C33" s="22" t="str">
        <f>"-"</f>
        <v>-</v>
      </c>
      <c r="D33" s="22" t="str">
        <f t="shared" si="0"/>
        <v>-</v>
      </c>
      <c r="E33" s="2"/>
      <c r="F33" s="1">
        <v>1</v>
      </c>
      <c r="G33" s="1" t="s">
        <v>79</v>
      </c>
      <c r="H33" s="1">
        <v>50</v>
      </c>
      <c r="I33" s="1">
        <v>200</v>
      </c>
    </row>
    <row r="34" spans="2:9" x14ac:dyDescent="0.45">
      <c r="B34" s="15" t="s">
        <v>94</v>
      </c>
      <c r="C34" s="22" t="str">
        <f>"-"</f>
        <v>-</v>
      </c>
      <c r="D34" s="22" t="str">
        <f t="shared" si="0"/>
        <v>-</v>
      </c>
      <c r="E34" s="2"/>
      <c r="F34" s="1">
        <v>1</v>
      </c>
      <c r="G34" s="1" t="s">
        <v>99</v>
      </c>
      <c r="H34" s="1">
        <v>50</v>
      </c>
      <c r="I34" s="1">
        <v>200</v>
      </c>
    </row>
    <row r="35" spans="2:9" ht="15.75" thickBot="1" x14ac:dyDescent="0.5"/>
    <row r="36" spans="2:9" ht="15.75" thickBot="1" x14ac:dyDescent="0.5">
      <c r="B36" s="87" t="s">
        <v>76</v>
      </c>
    </row>
    <row r="37" spans="2:9" x14ac:dyDescent="0.45">
      <c r="B37" s="88">
        <v>1200</v>
      </c>
    </row>
    <row r="38" spans="2:9" x14ac:dyDescent="0.45">
      <c r="B38" s="89">
        <v>900</v>
      </c>
    </row>
    <row r="39" spans="2:9" x14ac:dyDescent="0.45">
      <c r="B39" s="89">
        <v>600</v>
      </c>
    </row>
    <row r="40" spans="2:9" x14ac:dyDescent="0.45">
      <c r="B40" s="89">
        <v>450</v>
      </c>
    </row>
    <row r="41" spans="2:9" ht="15.75" thickBot="1" x14ac:dyDescent="0.5"/>
    <row r="42" spans="2:9" ht="15.75" thickBot="1" x14ac:dyDescent="0.5">
      <c r="B42" s="108" t="s">
        <v>101</v>
      </c>
    </row>
    <row r="43" spans="2:9" x14ac:dyDescent="0.45">
      <c r="B43" s="109" t="s">
        <v>56</v>
      </c>
      <c r="C43" s="111" t="s">
        <v>110</v>
      </c>
      <c r="D43" s="1" t="str">
        <f t="shared" ref="D43:D45" si="1">"-"</f>
        <v>-</v>
      </c>
    </row>
    <row r="44" spans="2:9" x14ac:dyDescent="0.45">
      <c r="B44" s="110" t="s">
        <v>56</v>
      </c>
      <c r="C44" s="111" t="s">
        <v>102</v>
      </c>
      <c r="D44" s="1" t="str">
        <f t="shared" si="1"/>
        <v>-</v>
      </c>
    </row>
    <row r="45" spans="2:9" x14ac:dyDescent="0.45">
      <c r="B45" s="110" t="s">
        <v>56</v>
      </c>
      <c r="C45" s="111" t="s">
        <v>103</v>
      </c>
      <c r="D45" s="1" t="str">
        <f t="shared" si="1"/>
        <v>-</v>
      </c>
    </row>
    <row r="46" spans="2:9" x14ac:dyDescent="0.45">
      <c r="B46" s="110" t="s">
        <v>56</v>
      </c>
      <c r="C46" s="111" t="s">
        <v>104</v>
      </c>
      <c r="D46" s="1" t="str">
        <f>"-"</f>
        <v>-</v>
      </c>
    </row>
    <row r="47" spans="2:9" x14ac:dyDescent="0.45">
      <c r="B47" s="109" t="s">
        <v>96</v>
      </c>
      <c r="C47" s="111" t="s">
        <v>110</v>
      </c>
      <c r="D47" s="111" t="s">
        <v>61</v>
      </c>
    </row>
    <row r="48" spans="2:9" x14ac:dyDescent="0.45">
      <c r="B48" s="109" t="s">
        <v>96</v>
      </c>
      <c r="C48" s="111" t="s">
        <v>102</v>
      </c>
      <c r="D48" s="111" t="s">
        <v>62</v>
      </c>
    </row>
    <row r="49" spans="2:4" x14ac:dyDescent="0.45">
      <c r="B49" s="109" t="s">
        <v>96</v>
      </c>
      <c r="C49" s="111" t="s">
        <v>103</v>
      </c>
      <c r="D49" s="111" t="s">
        <v>63</v>
      </c>
    </row>
    <row r="50" spans="2:4" x14ac:dyDescent="0.45">
      <c r="B50" s="109" t="s">
        <v>96</v>
      </c>
      <c r="C50" s="111" t="s">
        <v>104</v>
      </c>
      <c r="D50" s="111" t="s">
        <v>61</v>
      </c>
    </row>
    <row r="51" spans="2:4" x14ac:dyDescent="0.45">
      <c r="B51" s="109" t="s">
        <v>97</v>
      </c>
      <c r="C51" s="111" t="s">
        <v>110</v>
      </c>
      <c r="D51" s="111" t="s">
        <v>100</v>
      </c>
    </row>
    <row r="52" spans="2:4" x14ac:dyDescent="0.45">
      <c r="B52" s="109" t="s">
        <v>97</v>
      </c>
      <c r="C52" s="111" t="s">
        <v>102</v>
      </c>
      <c r="D52" s="111" t="s">
        <v>100</v>
      </c>
    </row>
    <row r="53" spans="2:4" x14ac:dyDescent="0.45">
      <c r="B53" s="109" t="s">
        <v>97</v>
      </c>
      <c r="C53" s="111" t="s">
        <v>103</v>
      </c>
      <c r="D53" s="111" t="s">
        <v>100</v>
      </c>
    </row>
    <row r="54" spans="2:4" x14ac:dyDescent="0.45">
      <c r="B54" s="109" t="s">
        <v>97</v>
      </c>
      <c r="C54" s="111" t="s">
        <v>104</v>
      </c>
      <c r="D54" s="111" t="s">
        <v>100</v>
      </c>
    </row>
    <row r="55" spans="2:4" x14ac:dyDescent="0.45">
      <c r="B55" s="110" t="s">
        <v>94</v>
      </c>
      <c r="C55" s="111" t="s">
        <v>110</v>
      </c>
      <c r="D55" s="111" t="s">
        <v>105</v>
      </c>
    </row>
    <row r="56" spans="2:4" x14ac:dyDescent="0.45">
      <c r="B56" s="110" t="s">
        <v>94</v>
      </c>
      <c r="C56" s="111" t="s">
        <v>102</v>
      </c>
      <c r="D56" s="111" t="s">
        <v>106</v>
      </c>
    </row>
    <row r="57" spans="2:4" x14ac:dyDescent="0.45">
      <c r="B57" s="110" t="s">
        <v>94</v>
      </c>
      <c r="C57" s="111" t="s">
        <v>103</v>
      </c>
      <c r="D57" s="111" t="s">
        <v>107</v>
      </c>
    </row>
    <row r="58" spans="2:4" x14ac:dyDescent="0.45">
      <c r="B58" s="110" t="s">
        <v>94</v>
      </c>
      <c r="C58" s="111" t="s">
        <v>104</v>
      </c>
      <c r="D58" s="111" t="s">
        <v>108</v>
      </c>
    </row>
  </sheetData>
  <sheetProtection algorithmName="SHA-512" hashValue="nDJPNDR78Gr8tlKkJhWBK1PPOl5GYRlgVEx9Zwek8+7hgaQ8Ys6daDhU8YdGVhXx47CA641gVpVWpPfoL+QY8w==" saltValue="hiF45LXwy7qCDXyhRl8v+A==" spinCount="100000" sheet="1" objects="1" scenario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D5D8E-332B-4327-BE5E-6E6E750D9991}">
  <sheetPr codeName="Лист3"/>
  <dimension ref="B2:C9"/>
  <sheetViews>
    <sheetView zoomScale="55" zoomScaleNormal="55" workbookViewId="0">
      <selection activeCell="I9" sqref="I9"/>
    </sheetView>
  </sheetViews>
  <sheetFormatPr defaultColWidth="9.1328125" defaultRowHeight="14.25" x14ac:dyDescent="0.45"/>
  <cols>
    <col min="1" max="1" width="9.1328125" style="23"/>
    <col min="2" max="2" width="15.1328125" style="23" bestFit="1" customWidth="1"/>
    <col min="3" max="3" width="28" style="23" bestFit="1" customWidth="1"/>
    <col min="4" max="4" width="98.59765625" style="23" customWidth="1"/>
    <col min="5" max="5" width="13.86328125" style="23" bestFit="1" customWidth="1"/>
    <col min="6" max="7" width="9.1328125" style="23"/>
    <col min="8" max="8" width="98.59765625" style="23" customWidth="1"/>
    <col min="9" max="9" width="14.1328125" style="23" bestFit="1" customWidth="1"/>
    <col min="10" max="16384" width="9.1328125" style="23"/>
  </cols>
  <sheetData>
    <row r="2" spans="2:3" ht="402" customHeight="1" x14ac:dyDescent="0.45">
      <c r="B2" s="23" t="s">
        <v>35</v>
      </c>
      <c r="C2" s="24" t="s">
        <v>56</v>
      </c>
    </row>
    <row r="3" spans="2:3" ht="408.95" customHeight="1" x14ac:dyDescent="0.45">
      <c r="B3" s="23" t="s">
        <v>35</v>
      </c>
      <c r="C3" s="24" t="s">
        <v>96</v>
      </c>
    </row>
    <row r="4" spans="2:3" ht="408.95" customHeight="1" x14ac:dyDescent="0.45">
      <c r="B4" s="23" t="s">
        <v>35</v>
      </c>
      <c r="C4" s="25" t="s">
        <v>97</v>
      </c>
    </row>
    <row r="5" spans="2:3" ht="408.95" customHeight="1" x14ac:dyDescent="0.45">
      <c r="B5" s="23" t="s">
        <v>35</v>
      </c>
      <c r="C5" s="25" t="s">
        <v>94</v>
      </c>
    </row>
    <row r="6" spans="2:3" ht="408.95" customHeight="1" x14ac:dyDescent="0.45">
      <c r="B6" s="23" t="s">
        <v>36</v>
      </c>
      <c r="C6" s="24" t="s">
        <v>56</v>
      </c>
    </row>
    <row r="7" spans="2:3" ht="408.95" customHeight="1" x14ac:dyDescent="0.45">
      <c r="B7" s="23" t="s">
        <v>36</v>
      </c>
      <c r="C7" s="24" t="s">
        <v>96</v>
      </c>
    </row>
    <row r="8" spans="2:3" ht="408.95" customHeight="1" x14ac:dyDescent="0.45">
      <c r="B8" s="23" t="s">
        <v>36</v>
      </c>
      <c r="C8" s="25" t="s">
        <v>97</v>
      </c>
    </row>
    <row r="9" spans="2:3" ht="408.95" customHeight="1" x14ac:dyDescent="0.45">
      <c r="B9" s="23" t="s">
        <v>36</v>
      </c>
      <c r="C9" s="25" t="s">
        <v>94</v>
      </c>
    </row>
  </sheetData>
  <sheetProtection algorithmName="SHA-512" hashValue="lriCMecvj5Tyupe0suhBBN/v2BdbkBaeetI17VSKqU4+FbclHbe2IvyABh8KJg57SrO3ikqzrzIUCbQsilai0Q==" saltValue="1KJ1KFOAi0zvKvL3xy65PQ==" spinCount="100000" sheet="1" objects="1" scenario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Лист заказа Moonlight</vt:lpstr>
      <vt:lpstr>Заказ №1</vt:lpstr>
      <vt:lpstr>Заказ №2</vt:lpstr>
      <vt:lpstr>Заказ №3</vt:lpstr>
      <vt:lpstr>Заказ №4</vt:lpstr>
      <vt:lpstr>Заказ №5</vt:lpstr>
      <vt:lpstr>Таблица с данными</vt:lpstr>
      <vt:lpstr>Таблица с чертежами</vt:lpstr>
      <vt:lpstr>'Лист заказа Moonlight'!Вывод_провода</vt:lpstr>
      <vt:lpstr>'Лист заказа Moonlight'!Полкодержатель</vt:lpstr>
      <vt:lpstr>'Лист заказа Moonlight'!Цвет_полки</vt:lpstr>
      <vt:lpstr>'Лист заказа Moonlight'!Цвет_рассеивателя</vt:lpstr>
      <vt:lpstr>'Лист заказа Moonlight'!Цветовая_температура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Виктор Шапорев</dc:creator>
  <cp:lastModifiedBy>Илья Новродский</cp:lastModifiedBy>
  <cp:lastPrinted>2024-02-14T10:06:58Z</cp:lastPrinted>
  <dcterms:created xsi:type="dcterms:W3CDTF">2023-12-19T08:56:38Z</dcterms:created>
  <dcterms:modified xsi:type="dcterms:W3CDTF">2025-11-30T06:13:07Z</dcterms:modified>
</cp:coreProperties>
</file>